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christianapantelidou/Desktop/"/>
    </mc:Choice>
  </mc:AlternateContent>
  <xr:revisionPtr revIDLastSave="0" documentId="8_{F233A932-253D-2746-9668-7D54A377E7FD}" xr6:coauthVersionLast="46" xr6:coauthVersionMax="46" xr10:uidLastSave="{00000000-0000-0000-0000-000000000000}"/>
  <workbookProtection workbookAlgorithmName="SHA-512" workbookHashValue="X5dZ5vrRhc3PAq/oRuDpADCWiJfMMm8TEnM8S+JxoN76z8uGrmAaw31rEK10NO+kQKGMeS23bhEoWVYEGiyIpA==" workbookSaltValue="Tg7U20HGsoAxiRwePPprTQ==" workbookSpinCount="100000" lockStructure="1"/>
  <bookViews>
    <workbookView xWindow="2640" yWindow="500" windowWidth="18380" windowHeight="16740" tabRatio="920" firstSheet="1" activeTab="1" xr2:uid="{00000000-000D-0000-FFFF-FFFF00000000}"/>
  </bookViews>
  <sheets>
    <sheet name="ETF List" sheetId="17" r:id="rId1"/>
    <sheet name="Final Report" sheetId="15" r:id="rId2"/>
    <sheet name="Policy Portfolio" sheetId="22" r:id="rId3"/>
    <sheet name="Risk &amp; Returns" sheetId="26" r:id="rId4"/>
    <sheet name="Trades" sheetId="5" r:id="rId5"/>
    <sheet name="Price Inputs" sheetId="21" r:id="rId6"/>
    <sheet name="Current Portfolio" sheetId="24" r:id="rId7"/>
    <sheet name="Port Returns" sheetId="14" r:id="rId8"/>
    <sheet name="Portfolio Bucket" sheetId="25" state="hidden" r:id="rId9"/>
    <sheet name="Calculations" sheetId="6" state="hidden" r:id="rId10"/>
    <sheet name="Weekly  Sum" sheetId="20" state="hidden" r:id="rId11"/>
    <sheet name="Weighted Returns" sheetId="19" state="hidden" r:id="rId12"/>
  </sheets>
  <externalReferences>
    <externalReference r:id="rId13"/>
    <externalReference r:id="rId14"/>
  </externalReferences>
  <definedNames>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6" hidden="1">'Current Portfolio'!#REF!</definedName>
    <definedName name="_xlnm._FilterDatabase" localSheetId="0" hidden="1">'ETF List'!#REF!</definedName>
    <definedName name="_xlnm._FilterDatabase" localSheetId="7" hidden="1">'Port Returns'!#REF!</definedName>
    <definedName name="_xlnm._FilterDatabase" localSheetId="8" hidden="1">'Portfolio Bucket'!$C$2:$I$2</definedName>
    <definedName name="_xlnm._FilterDatabase" localSheetId="4" hidden="1">Trades!#REF!</definedName>
    <definedName name="Alternatives">'Policy Portfolio'!$AJ$2:$AJ$5</definedName>
    <definedName name="BLPB1" localSheetId="6" hidden="1">#REF!</definedName>
    <definedName name="BLPB1" localSheetId="1" hidden="1">[1]Corporate!$D$17</definedName>
    <definedName name="BLPB1" hidden="1">#REF!</definedName>
    <definedName name="BLPH1" localSheetId="6" hidden="1">#REF!</definedName>
    <definedName name="BLPH1" hidden="1">#REF!</definedName>
    <definedName name="BLPH2" localSheetId="6" hidden="1">#REF!</definedName>
    <definedName name="BLPH2" hidden="1">#REF!</definedName>
    <definedName name="BLPH3" localSheetId="6" hidden="1">#REF!</definedName>
    <definedName name="BLPH3" hidden="1">#REF!</definedName>
    <definedName name="BLPH4" localSheetId="6" hidden="1">#REF!</definedName>
    <definedName name="BLPH4" hidden="1">#REF!</definedName>
    <definedName name="BLPH5" localSheetId="6" hidden="1">#REF!</definedName>
    <definedName name="BLPH5" localSheetId="1" hidden="1">[2]data!#REF!</definedName>
    <definedName name="BLPH5" hidden="1">#REF!</definedName>
    <definedName name="BLPH6" localSheetId="6" hidden="1">#REF!</definedName>
    <definedName name="BLPH6" localSheetId="1" hidden="1">#REF!</definedName>
    <definedName name="BLPH6" hidden="1">#REF!</definedName>
    <definedName name="BLPH7" localSheetId="6" hidden="1">#REF!</definedName>
    <definedName name="BLPH7" hidden="1">#REF!</definedName>
    <definedName name="BLPH8" localSheetId="6" hidden="1">#REF!</definedName>
    <definedName name="BLPH8" hidden="1">#REF!</definedName>
    <definedName name="Bonds">'Policy Portfolio'!$AI$2:$AI$11</definedName>
    <definedName name="Buy_Price">Trades!$L$32:$L$59</definedName>
    <definedName name="Cost_Basis">Trades!$O$32:$O$59</definedName>
    <definedName name="Current_Ticker">'Price Inputs'!$C$20:$C$49</definedName>
    <definedName name="Dates">'Price Inputs'!$E$4:$J$4</definedName>
    <definedName name="DSTSource" hidden="1">"&lt;DEFAULT&gt;"</definedName>
    <definedName name="Extra_Cash">Trades!$E$4</definedName>
    <definedName name="Initial_Cash">Trades!$E$3</definedName>
    <definedName name="Intl_Equity">'Policy Portfolio'!$AH$2:$AH$8</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SSET_BACKED_FDIC" hidden="1">"c6301"</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SH_DIVIDENDS_NET_INCOME_FDIC" hidden="1">"c6738"</definedName>
    <definedName name="IQ_CASH_IN_PROCESS_FDIC" hidden="1">"c6386"</definedName>
    <definedName name="IQ_CCE_FDIC" hidden="1">"c6296"</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LASSB_OUTSTANDING_BS_DATE" hidden="1">"c1972"</definedName>
    <definedName name="IQ_CLASSB_OUTSTANDING_FILING_DATE" hidden="1">"c1974"</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FDIC" hidden="1">"c6350"</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Y" hidden="1">10000</definedName>
    <definedName name="IQ_DAILY" hidden="1">500000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_PRIMARY_EST" hidden="1">"c2226"</definedName>
    <definedName name="IQ_EPS_PRIMARY_HIGH_EST" hidden="1">"c2228"</definedName>
    <definedName name="IQ_EPS_PRIMARY_LOW_EST" hidden="1">"c2229"</definedName>
    <definedName name="IQ_EPS_PRIMARY_MEDIAN_EST" hidden="1">"c2227"</definedName>
    <definedName name="IQ_EPS_PRIMARY_NUM_EST" hidden="1">"c2230"</definedName>
    <definedName name="IQ_EPS_PRIMARY_STDDEV_EST" hidden="1">"c2231"</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EPS_PRIMARY" hidden="1">"c2232"</definedName>
    <definedName name="IQ_EST_ACT_FFO_REUT" hidden="1">"c3843"</definedName>
    <definedName name="IQ_EST_ACT_FFO_THOM" hidden="1">"c4005"</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EST_REUT" hidden="1">"c3837"</definedName>
    <definedName name="IQ_FFO_EST_THOM" hidden="1">"c3999"</definedName>
    <definedName name="IQ_FFO_HIGH_EST_REUT" hidden="1">"c3839"</definedName>
    <definedName name="IQ_FFO_HIGH_EST_THOM" hidden="1">"c4001"</definedName>
    <definedName name="IQ_FFO_LOW_EST_REUT" hidden="1">"c3840"</definedName>
    <definedName name="IQ_FFO_LOW_EST_THOM" hidden="1">"c4002"</definedName>
    <definedName name="IQ_FFO_MEDIAN_EST_REUT" hidden="1">"c3838"</definedName>
    <definedName name="IQ_FFO_MEDIAN_EST_THOM" hidden="1">"c4000"</definedName>
    <definedName name="IQ_FFO_NUM_EST_REUT" hidden="1">"c3841"</definedName>
    <definedName name="IQ_FFO_NUM_EST_THOM" hidden="1">"c4003"</definedName>
    <definedName name="IQ_FFO_STDDEV_EST_REUT" hidden="1">"c3842"</definedName>
    <definedName name="IQ_FFO_STDDEV_EST_THOM" hidden="1">"c4004"</definedName>
    <definedName name="IQ_FH" hidden="1">100000</definedName>
    <definedName name="IQ_FHLB_ADVANCES_FDIC" hidden="1">"c6366"</definedName>
    <definedName name="IQ_FHLB_DUE_AFTER_FIVE" hidden="1">"c2086"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 hidden="1">1000</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TOTAL_FDIC" hidden="1">"c6569"</definedName>
    <definedName name="IQ_INT_FED_FUNDS_FDIC" hidden="1">"c6566"</definedName>
    <definedName name="IQ_INT_FOREIGN_DEPOSITS_FDIC" hidden="1">"c6565"</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LT_DEBT" hidden="1">"c2086"</definedName>
    <definedName name="IQ_INTEREST_RATE_CONTRACTS_FDIC" hidden="1">"c6512"</definedName>
    <definedName name="IQ_INTEREST_RATE_EXPOSURES_FDIC" hidden="1">"c6662"</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IFE_INSURANCE_ASSETS_FDIC" hidden="1">"c6372"</definedName>
    <definedName name="IQ_LISTING_CURRENCY" hidden="1">"c2127"</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M" hidden="1">2000</definedName>
    <definedName name="IQ_LTMMONTH" hidden="1">120000</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localSheetId="1" hidden="1">40149.6200810185</definedName>
    <definedName name="IQ_NAMES_REVISION_DATE_" hidden="1">40585.3988773148</definedName>
    <definedName name="IQ_NAV_ACT_OR_EST" hidden="1">"c2225"</definedName>
    <definedName name="IQ_NET_CHARGE_OFFS_FDIC" hidden="1">"c6641"</definedName>
    <definedName name="IQ_NET_CHARGE_OFFS_LOANS_FDIC" hidden="1">"c6751"</definedName>
    <definedName name="IQ_NET_INCOME_FDIC" hidden="1">"c6587"</definedName>
    <definedName name="IQ_NET_INT_INC_BNK_FDIC" hidden="1">"c6570"</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_OFFICES" hidden="1">"c2088"</definedName>
    <definedName name="IQ_NUMBER_DEPOSITS_LESS_THAN_100K_FDIC" hidden="1">"c6495"</definedName>
    <definedName name="IQ_NUMBER_DEPOSITS_MORE_THAN_100K_FDIC" hidden="1">"c6493"</definedName>
    <definedName name="IQ_NUMBER_SHAREHOLDERS_CLASSB" hidden="1">"c1969"</definedName>
    <definedName name="IQ_OBLIGATIONS_OF_STATES_TOTAL_LOANS_FOREIGN_FDIC" hidden="1">"c6447"</definedName>
    <definedName name="IQ_OBLIGATIONS_STATES_FDIC" hidden="1">"c6431"</definedName>
    <definedName name="IQ_OG_OTHER_ADJ" hidden="1">"c1999"</definedName>
    <definedName name="IQ_OG_TOTAL_OIL_PRODUCTON" hidden="1">"c2059"</definedName>
    <definedName name="IQ_OPENED55" hidden="1">1</definedName>
    <definedName name="IQ_OPTIONS_EXCERCISED" hidden="1">"c2116"</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SSETS_FDIC" hidden="1">"c6338"</definedName>
    <definedName name="IQ_OTHER_BORROWED_FUNDS_FDIC" hidden="1">"c6345"</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INSURANCE_FEES_FDIC" hidden="1">"c6672"</definedName>
    <definedName name="IQ_OTHER_INTANGIBLE_FDIC" hidden="1">"c6337"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NON_INT_EXP_FDIC" hidden="1">"c6578"</definedName>
    <definedName name="IQ_OTHER_NON_INT_EXPENSE_FDIC" hidden="1">"c6679"</definedName>
    <definedName name="IQ_OTHER_NON_INT_INC_FDIC" hidden="1">"c6676"</definedName>
    <definedName name="IQ_OTHER_OFF_BS_LIAB_FDIC" hidden="1">"c6533"</definedName>
    <definedName name="IQ_OTHER_RE_OWNED_FDIC" hidden="1">"c6330"</definedName>
    <definedName name="IQ_OTHER_SAVINGS_DEPOSITS_FDIC" hidden="1">"c6554"</definedName>
    <definedName name="IQ_OTHER_TRANSACTIONS_FDIC" hidden="1">"c6504"</definedName>
    <definedName name="IQ_OTHER_UNUSED_COMMITMENTS_FDIC" hidden="1">"c6530"</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2MONTHS_CIQ" hidden="1">"c3769"</definedName>
    <definedName name="IQ_PERCENT_CHANGE_EST_FFO_12MONTHS_CIQ_COL" hidden="1">"c11119"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CIQ_COL" hidden="1">"c11120"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CIQ_COL" hidden="1">"c11116"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CIQ_COL" hidden="1">"c11117"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CIQ_COL" hidden="1">"c11118"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CIQ_COL" hidden="1">"c11114"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CIQ_COL" hidden="1">"c11115"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CIQ_COL" hidden="1">"c11145"</definedName>
    <definedName name="IQ_PERCENT_CHANGE_EST_FFO_WEEK_REUT" hidden="1">"c3964"</definedName>
    <definedName name="IQ_PERCENT_CHANGE_EST_FFO_WEEK_THOM" hidden="1">"c5274"</definedName>
    <definedName name="IQ_PERCENT_INSURED_FDIC" hidden="1">"c6374"</definedName>
    <definedName name="IQ_PLEDGED_SECURITIES_FDIC" hidden="1">"c6401"</definedName>
    <definedName name="IQ_PRE_TAX_INCOME_FDIC" hidden="1">"c6581"</definedName>
    <definedName name="IQ_PREFERRED_FDIC" hidden="1">"c6349"</definedName>
    <definedName name="IQ_PREMISES_EQUIPMENT_FDIC" hidden="1">"c6577"</definedName>
    <definedName name="IQ_PRETAX_RETURN_ASSETS_FDIC" hidden="1">"c6731"</definedName>
    <definedName name="IQ_PRIMARY_EPS_TYPE_THOM" hidden="1">"c5297"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FDIC" hidden="1">"c6730"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ARGET_PRICE_LASTCLOSE" hidden="1">"c1855"</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SSETS_FDIC" hidden="1">"c6339"</definedName>
    <definedName name="IQ_TOTAL_CHARGE_OFFS_FDIC" hidden="1">"c6603"</definedName>
    <definedName name="IQ_TOTAL_DEBT_SECURITIES_FDIC" hidden="1">"c6410"</definedName>
    <definedName name="IQ_TOTAL_DEPOSITS_FDIC" hidden="1">"c6342"</definedName>
    <definedName name="IQ_TOTAL_EMPLOYEES_FDIC" hidden="1">"c6355"</definedName>
    <definedName name="IQ_TOTAL_LIAB_EQUITY_FDIC" hidden="1">"c6354"</definedName>
    <definedName name="IQ_TOTAL_LIABILITIES_FDIC" hidden="1">"c6348"</definedName>
    <definedName name="IQ_TOTAL_PENSION_OBLIGATION" hidden="1">"c1292"</definedName>
    <definedName name="IQ_TOTAL_RECOVERIES_FDIC" hidden="1">"c6622"</definedName>
    <definedName name="IQ_TOTAL_REV_BNK_FDIC" hidden="1">"c6786"</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_YTDMONTH" hidden="1">130000</definedName>
    <definedName name="Mrkt_Value" localSheetId="6">'Current Portfolio'!$J$11:$J$40</definedName>
    <definedName name="Mrkt_Value" localSheetId="7">'Port Returns'!$K$11:$K$25</definedName>
    <definedName name="Names" hidden="1">40070.4541782407</definedName>
    <definedName name="Pal_Workbook_GUID" hidden="1">"MJY1UJACJYS1VGBN9LTXTPUE"</definedName>
    <definedName name="Policy_Tickers">'Price Inputs'!$C$6:$C$14</definedName>
    <definedName name="PPrices1">'Price Inputs'!$E$6:$J$6</definedName>
    <definedName name="PPrices2">'Price Inputs'!$E$7:$J$7</definedName>
    <definedName name="PPrices3">'Price Inputs'!$E$8:$J$8</definedName>
    <definedName name="PPrices4">'Price Inputs'!$E$9:$J$9</definedName>
    <definedName name="PPrices5">'Price Inputs'!$E$10:$J$10</definedName>
    <definedName name="PPrices6">'Price Inputs'!$E$11:$J$11</definedName>
    <definedName name="PPrices7">'Price Inputs'!$E$12:$J$12</definedName>
    <definedName name="PPrices8">'Price Inputs'!$E$13:$J$13</definedName>
    <definedName name="PPrices9">'Price Inputs'!$E$14:$J$14</definedName>
    <definedName name="Prices_1">'Price Inputs'!$E$20:$J$20</definedName>
    <definedName name="Prices10">'Price Inputs'!$E$29:$J$29</definedName>
    <definedName name="Prices11">'Price Inputs'!$E$30:$J$30</definedName>
    <definedName name="Prices12">'Price Inputs'!$E$31:$J$31</definedName>
    <definedName name="Prices13">'Price Inputs'!$E$32:$J$32</definedName>
    <definedName name="Prices14">'Price Inputs'!$E$33:$J$33</definedName>
    <definedName name="Prices15">'Price Inputs'!$E$34:$J$34</definedName>
    <definedName name="Prices16">'Price Inputs'!$E$35:$J$35</definedName>
    <definedName name="Prices17">'Price Inputs'!$E$36:$J$36</definedName>
    <definedName name="Prices18">'Price Inputs'!$E$37:$J$37</definedName>
    <definedName name="Prices19">'Price Inputs'!$E$38:$J$38</definedName>
    <definedName name="Prices2">'Price Inputs'!$E$21:$J$21</definedName>
    <definedName name="Prices20">'Price Inputs'!$E$39:$J$39</definedName>
    <definedName name="Prices21">'Price Inputs'!$E$40:$J$40</definedName>
    <definedName name="Prices22">'Price Inputs'!$E$41:$J$41</definedName>
    <definedName name="Prices23">'Price Inputs'!$E$42:$J$42</definedName>
    <definedName name="Prices24">'Price Inputs'!$E$43:$J$43</definedName>
    <definedName name="Prices25">'Price Inputs'!$E$44:$J$44</definedName>
    <definedName name="Prices26">'Price Inputs'!$E$45:$J$45</definedName>
    <definedName name="Prices27">'Price Inputs'!$E$46:$J$46</definedName>
    <definedName name="Prices28">'Price Inputs'!$E$47:$J$47</definedName>
    <definedName name="Prices29">'Price Inputs'!$E$48:$J$48</definedName>
    <definedName name="Prices3">'Price Inputs'!$E$22:$J$22</definedName>
    <definedName name="Prices30">'Price Inputs'!$E$49:$J$49</definedName>
    <definedName name="Prices4">'Price Inputs'!$E$23:$J$23</definedName>
    <definedName name="Prices5">'Price Inputs'!$E$24:$J$24</definedName>
    <definedName name="Prices6">'Price Inputs'!$E$25:$J$25</definedName>
    <definedName name="Prices7">'Price Inputs'!$E$26:$J$26</definedName>
    <definedName name="Prices8">'Price Inputs'!$E$27:$J$27</definedName>
    <definedName name="Prices9">'Price Inputs'!$E$28:$J$28</definedName>
    <definedName name="_xlnm.Print_Area" localSheetId="6">'Current Portfolio'!$A$1:$K$40</definedName>
    <definedName name="_xlnm.Print_Area" localSheetId="0">'ETF List'!$A$1:$J$91</definedName>
    <definedName name="_xlnm.Print_Area" localSheetId="1">'Final Report'!$C$4:$AD$52</definedName>
    <definedName name="_xlnm.Print_Area" localSheetId="2">'Policy Portfolio'!$A$1:$I$31</definedName>
    <definedName name="_xlnm.Print_Area" localSheetId="7">'Port Returns'!$A$1:$M$78</definedName>
    <definedName name="_xlnm.Print_Area" localSheetId="5">'Price Inputs'!$A$1:$J$49</definedName>
    <definedName name="_xlnm.Print_Area" localSheetId="3">'Risk &amp; Returns'!$A$1:$Q$55</definedName>
    <definedName name="_xlnm.Print_Area" localSheetId="4">Trades!$A$1:$O$59</definedName>
    <definedName name="Realized_Returns">'Port Returns'!$P$132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ll_Price">Trades!$N$32:$N$59</definedName>
    <definedName name="Share_Count" localSheetId="6">'Current Portfolio'!$H$11:$H$25</definedName>
    <definedName name="Share_Count">Trades!$I$32:$I$59</definedName>
    <definedName name="Tickers">'Current Portfolio'!$C$11:$C$40</definedName>
    <definedName name="Unrealized_Returns">'Port Returns'!$R$132</definedName>
    <definedName name="US_Equity">'Policy Portfolio'!$AG$2:$AG$9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21" l="1"/>
  <c r="E6" i="21"/>
  <c r="E4" i="21"/>
  <c r="U162" i="14" l="1"/>
  <c r="V162" i="14"/>
  <c r="U163" i="14"/>
  <c r="V163" i="14"/>
  <c r="U164" i="14"/>
  <c r="V164" i="14"/>
  <c r="U165" i="14"/>
  <c r="V165" i="14"/>
  <c r="U166" i="14"/>
  <c r="V166" i="14"/>
  <c r="U167" i="14"/>
  <c r="V167" i="14"/>
  <c r="U168" i="14"/>
  <c r="V168" i="14"/>
  <c r="U169" i="14"/>
  <c r="V169" i="14"/>
  <c r="U170" i="14"/>
  <c r="V170" i="14"/>
  <c r="U171" i="14"/>
  <c r="V171" i="14"/>
  <c r="U172" i="14"/>
  <c r="V172" i="14"/>
  <c r="F14" i="22" l="1"/>
  <c r="P20" i="21" l="1"/>
  <c r="P21" i="21"/>
  <c r="P22" i="21"/>
  <c r="D59" i="5" l="1"/>
  <c r="E59" i="5"/>
  <c r="U161" i="14" s="1"/>
  <c r="F59" i="5"/>
  <c r="V161" i="14" s="1"/>
  <c r="K59" i="5"/>
  <c r="L59" i="5"/>
  <c r="M59" i="5"/>
  <c r="N59" i="5"/>
  <c r="O59" i="5"/>
  <c r="S172" i="14" l="1"/>
  <c r="C42" i="6" l="1"/>
  <c r="C52" i="6" s="1"/>
  <c r="C61" i="6" s="1"/>
  <c r="C20" i="6" l="1"/>
  <c r="C21" i="6"/>
  <c r="C22" i="6"/>
  <c r="C23" i="6"/>
  <c r="C19" i="6"/>
  <c r="P7" i="6"/>
  <c r="C17" i="6"/>
  <c r="P6" i="6" s="1"/>
  <c r="C14" i="6"/>
  <c r="C25" i="6" l="1"/>
  <c r="P8" i="6"/>
  <c r="P9" i="6" s="1"/>
  <c r="P17" i="6"/>
  <c r="P10" i="6" l="1"/>
  <c r="U9" i="15"/>
  <c r="L39" i="22"/>
  <c r="N39" i="22"/>
  <c r="L40" i="22"/>
  <c r="N40" i="22"/>
  <c r="L41" i="22"/>
  <c r="N41" i="22"/>
  <c r="L42" i="22"/>
  <c r="N42" i="22"/>
  <c r="L43" i="22"/>
  <c r="N43" i="22"/>
  <c r="P11" i="6" l="1"/>
  <c r="E4" i="5"/>
  <c r="E3" i="5" s="1"/>
  <c r="E3" i="24" s="1"/>
  <c r="F15" i="22"/>
  <c r="E4" i="24" l="1"/>
  <c r="P12" i="6"/>
  <c r="G30" i="22"/>
  <c r="P14" i="6" l="1"/>
  <c r="Z10" i="24"/>
  <c r="X10" i="24"/>
  <c r="Y10" i="24"/>
  <c r="W10" i="24"/>
  <c r="K5" i="19"/>
  <c r="G46" i="14"/>
  <c r="H47" i="14"/>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48" i="20"/>
  <c r="B27" i="22" l="1"/>
  <c r="S21" i="21"/>
  <c r="S22" i="21"/>
  <c r="S23" i="21"/>
  <c r="S24" i="21"/>
  <c r="S25" i="21"/>
  <c r="S26" i="21"/>
  <c r="S27" i="21"/>
  <c r="S28" i="21"/>
  <c r="S29" i="21"/>
  <c r="S30" i="21"/>
  <c r="S31" i="21"/>
  <c r="S32" i="21"/>
  <c r="S33" i="21"/>
  <c r="S34" i="21"/>
  <c r="S35" i="21"/>
  <c r="S36" i="21"/>
  <c r="S37" i="21"/>
  <c r="S38" i="21"/>
  <c r="S39" i="21"/>
  <c r="S40" i="21"/>
  <c r="S41" i="21"/>
  <c r="S42" i="21"/>
  <c r="S43" i="21"/>
  <c r="S44" i="21"/>
  <c r="S45" i="21"/>
  <c r="S46" i="21"/>
  <c r="S47" i="21"/>
  <c r="S48" i="21"/>
  <c r="S49" i="21"/>
  <c r="S20" i="21"/>
  <c r="C25" i="26"/>
  <c r="C24" i="26"/>
  <c r="C23" i="26"/>
  <c r="C22" i="26"/>
  <c r="C21" i="26"/>
  <c r="C20" i="26"/>
  <c r="P23" i="21"/>
  <c r="P24" i="21"/>
  <c r="P25" i="21"/>
  <c r="P26" i="21"/>
  <c r="P27" i="21"/>
  <c r="P28" i="21"/>
  <c r="P29" i="21"/>
  <c r="P30" i="21"/>
  <c r="P31" i="21"/>
  <c r="P32" i="21"/>
  <c r="P33" i="21"/>
  <c r="P34" i="21"/>
  <c r="P35" i="21"/>
  <c r="P36" i="21"/>
  <c r="P37" i="21"/>
  <c r="P38" i="21"/>
  <c r="P39" i="21"/>
  <c r="P40" i="21"/>
  <c r="P41" i="21"/>
  <c r="P42" i="21"/>
  <c r="P43" i="21"/>
  <c r="P44" i="21"/>
  <c r="P45" i="21"/>
  <c r="P46" i="21"/>
  <c r="P47" i="21"/>
  <c r="P48" i="21"/>
  <c r="P49" i="21"/>
  <c r="B8" i="20"/>
  <c r="K33" i="5" l="1"/>
  <c r="L33" i="5"/>
  <c r="M33" i="5"/>
  <c r="N33" i="5"/>
  <c r="K34" i="5"/>
  <c r="L34" i="5"/>
  <c r="O34" i="5" s="1"/>
  <c r="M34" i="5"/>
  <c r="N34" i="5"/>
  <c r="K35" i="5"/>
  <c r="L35" i="5"/>
  <c r="M35" i="5"/>
  <c r="N35" i="5"/>
  <c r="K36" i="5"/>
  <c r="L36" i="5"/>
  <c r="M36" i="5"/>
  <c r="N36" i="5"/>
  <c r="K37" i="5"/>
  <c r="L37" i="5"/>
  <c r="M37" i="5"/>
  <c r="N37" i="5"/>
  <c r="O37" i="5" s="1"/>
  <c r="K38" i="5"/>
  <c r="L38" i="5"/>
  <c r="M38" i="5"/>
  <c r="N38" i="5"/>
  <c r="K39" i="5"/>
  <c r="L39" i="5"/>
  <c r="M39" i="5"/>
  <c r="N39" i="5"/>
  <c r="O39" i="5" s="1"/>
  <c r="K40" i="5"/>
  <c r="L40" i="5"/>
  <c r="O40" i="5" s="1"/>
  <c r="M40" i="5"/>
  <c r="N40" i="5"/>
  <c r="K41" i="5"/>
  <c r="L41" i="5"/>
  <c r="O41" i="5" s="1"/>
  <c r="M41" i="5"/>
  <c r="N41" i="5"/>
  <c r="K42" i="5"/>
  <c r="L42" i="5"/>
  <c r="M42" i="5"/>
  <c r="N42" i="5"/>
  <c r="O42" i="5" s="1"/>
  <c r="K43" i="5"/>
  <c r="L43" i="5"/>
  <c r="M43" i="5"/>
  <c r="N43" i="5"/>
  <c r="K44" i="5"/>
  <c r="L44" i="5"/>
  <c r="O44" i="5" s="1"/>
  <c r="M44" i="5"/>
  <c r="N44" i="5"/>
  <c r="K45" i="5"/>
  <c r="L45" i="5"/>
  <c r="M45" i="5"/>
  <c r="N45" i="5"/>
  <c r="K46" i="5"/>
  <c r="L46" i="5"/>
  <c r="M46" i="5"/>
  <c r="N46" i="5"/>
  <c r="K47" i="5"/>
  <c r="L47" i="5"/>
  <c r="O47" i="5" s="1"/>
  <c r="M47" i="5"/>
  <c r="N47" i="5"/>
  <c r="K48" i="5"/>
  <c r="L48" i="5"/>
  <c r="M48" i="5"/>
  <c r="N48" i="5"/>
  <c r="O48" i="5" s="1"/>
  <c r="K49" i="5"/>
  <c r="L49" i="5"/>
  <c r="M49" i="5"/>
  <c r="N49" i="5"/>
  <c r="O49" i="5" s="1"/>
  <c r="K50" i="5"/>
  <c r="L50" i="5"/>
  <c r="M50" i="5"/>
  <c r="N50" i="5"/>
  <c r="O50" i="5" s="1"/>
  <c r="K51" i="5"/>
  <c r="L51" i="5"/>
  <c r="M51" i="5"/>
  <c r="N51" i="5"/>
  <c r="O51" i="5" s="1"/>
  <c r="K52" i="5"/>
  <c r="L52" i="5"/>
  <c r="O52" i="5" s="1"/>
  <c r="M52" i="5"/>
  <c r="N52" i="5"/>
  <c r="K53" i="5"/>
  <c r="L53" i="5"/>
  <c r="O53" i="5" s="1"/>
  <c r="M53" i="5"/>
  <c r="N53" i="5"/>
  <c r="K54" i="5"/>
  <c r="L54" i="5"/>
  <c r="M54" i="5"/>
  <c r="N54" i="5"/>
  <c r="O54" i="5" s="1"/>
  <c r="K55" i="5"/>
  <c r="L55" i="5"/>
  <c r="M55" i="5"/>
  <c r="N55" i="5"/>
  <c r="O55" i="5" s="1"/>
  <c r="K56" i="5"/>
  <c r="L56" i="5"/>
  <c r="M56" i="5"/>
  <c r="N56" i="5"/>
  <c r="O56" i="5" s="1"/>
  <c r="K57" i="5"/>
  <c r="L57" i="5"/>
  <c r="O57" i="5" s="1"/>
  <c r="M57" i="5"/>
  <c r="N57" i="5"/>
  <c r="K58" i="5"/>
  <c r="L58" i="5"/>
  <c r="M58" i="5"/>
  <c r="N58" i="5"/>
  <c r="O58" i="5" s="1"/>
  <c r="D34" i="5"/>
  <c r="T22" i="21" s="1"/>
  <c r="E34" i="5"/>
  <c r="F34" i="5"/>
  <c r="D35" i="5"/>
  <c r="T23" i="21" s="1"/>
  <c r="E35" i="5"/>
  <c r="F35" i="5"/>
  <c r="D36" i="5"/>
  <c r="T24" i="21" s="1"/>
  <c r="E36" i="5"/>
  <c r="F36" i="5"/>
  <c r="D37" i="5"/>
  <c r="T25" i="21" s="1"/>
  <c r="E37" i="5"/>
  <c r="F37" i="5"/>
  <c r="D38" i="5"/>
  <c r="T26" i="21" s="1"/>
  <c r="E38" i="5"/>
  <c r="F38" i="5"/>
  <c r="D39" i="5"/>
  <c r="T27" i="21" s="1"/>
  <c r="E39" i="5"/>
  <c r="F39" i="5"/>
  <c r="D40" i="5"/>
  <c r="T28" i="21" s="1"/>
  <c r="E40" i="5"/>
  <c r="U141" i="14" s="1"/>
  <c r="F40" i="5"/>
  <c r="V141" i="14" s="1"/>
  <c r="D41" i="5"/>
  <c r="T29" i="21" s="1"/>
  <c r="E41" i="5"/>
  <c r="F41" i="5"/>
  <c r="D42" i="5"/>
  <c r="T30" i="21" s="1"/>
  <c r="E42" i="5"/>
  <c r="F42" i="5"/>
  <c r="D43" i="5"/>
  <c r="T31" i="21" s="1"/>
  <c r="E43" i="5"/>
  <c r="F43" i="5"/>
  <c r="D44" i="5"/>
  <c r="T32" i="21" s="1"/>
  <c r="E44" i="5"/>
  <c r="F44" i="5"/>
  <c r="D45" i="5"/>
  <c r="T33" i="21" s="1"/>
  <c r="E45" i="5"/>
  <c r="F45" i="5"/>
  <c r="D46" i="5"/>
  <c r="T34" i="21" s="1"/>
  <c r="E46" i="5"/>
  <c r="F46" i="5"/>
  <c r="D47" i="5"/>
  <c r="T35" i="21" s="1"/>
  <c r="E47" i="5"/>
  <c r="F47" i="5"/>
  <c r="D48" i="5"/>
  <c r="T36" i="21" s="1"/>
  <c r="E48" i="5"/>
  <c r="F48" i="5"/>
  <c r="D49" i="5"/>
  <c r="T37" i="21" s="1"/>
  <c r="E49" i="5"/>
  <c r="F49" i="5"/>
  <c r="D50" i="5"/>
  <c r="T38" i="21" s="1"/>
  <c r="E50" i="5"/>
  <c r="F50" i="5"/>
  <c r="D51" i="5"/>
  <c r="T39" i="21" s="1"/>
  <c r="E51" i="5"/>
  <c r="F51" i="5"/>
  <c r="D52" i="5"/>
  <c r="T40" i="21" s="1"/>
  <c r="E52" i="5"/>
  <c r="F52" i="5"/>
  <c r="D53" i="5"/>
  <c r="T41" i="21" s="1"/>
  <c r="E53" i="5"/>
  <c r="F53" i="5"/>
  <c r="D54" i="5"/>
  <c r="T42" i="21" s="1"/>
  <c r="E54" i="5"/>
  <c r="F54" i="5"/>
  <c r="D55" i="5"/>
  <c r="T43" i="21" s="1"/>
  <c r="E55" i="5"/>
  <c r="F55" i="5"/>
  <c r="D56" i="5"/>
  <c r="T44" i="21" s="1"/>
  <c r="E56" i="5"/>
  <c r="F56" i="5"/>
  <c r="D57" i="5"/>
  <c r="T45" i="21" s="1"/>
  <c r="E57" i="5"/>
  <c r="F57" i="5"/>
  <c r="D58" i="5"/>
  <c r="T46" i="21" s="1"/>
  <c r="E58" i="5"/>
  <c r="F58" i="5"/>
  <c r="T47" i="21"/>
  <c r="T48" i="21"/>
  <c r="T49" i="21"/>
  <c r="D33" i="5"/>
  <c r="E33" i="5"/>
  <c r="F33" i="5"/>
  <c r="N32" i="5"/>
  <c r="M32" i="5"/>
  <c r="L32" i="5"/>
  <c r="K32" i="5"/>
  <c r="F32" i="5"/>
  <c r="E32" i="5"/>
  <c r="D32" i="5"/>
  <c r="T20" i="21" s="1"/>
  <c r="O33" i="5" l="1"/>
  <c r="O45" i="5"/>
  <c r="O46" i="5"/>
  <c r="O43" i="5"/>
  <c r="O36" i="5"/>
  <c r="T21" i="21"/>
  <c r="O38" i="5"/>
  <c r="O32" i="5"/>
  <c r="O35" i="5"/>
  <c r="B22" i="22"/>
  <c r="B23" i="22"/>
  <c r="B24" i="22"/>
  <c r="B25" i="22"/>
  <c r="B26" i="22"/>
  <c r="B28" i="22"/>
  <c r="B29" i="22"/>
  <c r="B21" i="22"/>
  <c r="A17" i="22"/>
  <c r="D2" i="25" l="1"/>
  <c r="B27" i="26"/>
  <c r="B28" i="26" s="1"/>
  <c r="B29" i="26" s="1"/>
  <c r="B30" i="26" s="1"/>
  <c r="B31" i="26" s="1"/>
  <c r="B32" i="26" s="1"/>
  <c r="B33" i="26" s="1"/>
  <c r="B34" i="26" s="1"/>
  <c r="B35" i="26" s="1"/>
  <c r="B36" i="26" s="1"/>
  <c r="B37" i="26" s="1"/>
  <c r="B38" i="26" s="1"/>
  <c r="B39" i="26" s="1"/>
  <c r="B40" i="26" s="1"/>
  <c r="B41" i="26" s="1"/>
  <c r="B42" i="26" s="1"/>
  <c r="B43" i="26" s="1"/>
  <c r="B44" i="26" s="1"/>
  <c r="B45" i="26" s="1"/>
  <c r="B46" i="26" s="1"/>
  <c r="B47" i="26" s="1"/>
  <c r="B48" i="26" s="1"/>
  <c r="B49" i="26" s="1"/>
  <c r="B50" i="26" s="1"/>
  <c r="B51" i="26" s="1"/>
  <c r="B52" i="26" s="1"/>
  <c r="B53" i="26" s="1"/>
  <c r="B54" i="26" s="1"/>
  <c r="A39" i="24"/>
  <c r="A28" i="24"/>
  <c r="A32" i="24"/>
  <c r="A15" i="24"/>
  <c r="A35" i="24"/>
  <c r="A14" i="24"/>
  <c r="A13" i="24"/>
  <c r="A37" i="24"/>
  <c r="A25" i="24"/>
  <c r="A36" i="24"/>
  <c r="A24" i="24"/>
  <c r="A16" i="24"/>
  <c r="A23" i="24"/>
  <c r="A22" i="24"/>
  <c r="A21" i="24"/>
  <c r="A30" i="24"/>
  <c r="A12" i="24"/>
  <c r="A19" i="24"/>
  <c r="A40" i="24"/>
  <c r="A18" i="24"/>
  <c r="A26" i="24"/>
  <c r="A34" i="24"/>
  <c r="A11" i="24"/>
  <c r="A29" i="24"/>
  <c r="A33" i="24"/>
  <c r="A27" i="24"/>
  <c r="A31" i="24"/>
  <c r="A38" i="24"/>
  <c r="A20" i="24"/>
  <c r="A17" i="24"/>
  <c r="AC49" i="22"/>
  <c r="AC50" i="22"/>
  <c r="AC51" i="22"/>
  <c r="AC52" i="22"/>
  <c r="AC48" i="22"/>
  <c r="AC44" i="22"/>
  <c r="AC45" i="22"/>
  <c r="AC37" i="22" l="1"/>
  <c r="AC38" i="22"/>
  <c r="AC39" i="22"/>
  <c r="AC40" i="22"/>
  <c r="AC41" i="22"/>
  <c r="AC36" i="22"/>
  <c r="AC42" i="22"/>
  <c r="AC43" i="22"/>
  <c r="V7" i="24"/>
  <c r="C4" i="20" l="1"/>
  <c r="X7" i="24"/>
  <c r="Y7" i="24"/>
  <c r="W7" i="24"/>
  <c r="Z7" i="24"/>
  <c r="AC23" i="22"/>
  <c r="E27" i="5" l="1"/>
  <c r="J6" i="20"/>
  <c r="N6" i="20" s="1"/>
  <c r="R6" i="20" s="1"/>
  <c r="V6" i="20" s="1"/>
  <c r="Z6" i="20" s="1"/>
  <c r="I6" i="20"/>
  <c r="M6" i="20" s="1"/>
  <c r="Q6" i="20" s="1"/>
  <c r="U6" i="20" s="1"/>
  <c r="Y6" i="20" s="1"/>
  <c r="H6" i="20"/>
  <c r="L6" i="20" s="1"/>
  <c r="P6" i="20" s="1"/>
  <c r="T6" i="20" s="1"/>
  <c r="X6" i="20" s="1"/>
  <c r="G6" i="20"/>
  <c r="K6" i="20" s="1"/>
  <c r="O6" i="20" s="1"/>
  <c r="S6" i="20" s="1"/>
  <c r="W6" i="20" s="1"/>
  <c r="F19" i="21" l="1"/>
  <c r="G19" i="21"/>
  <c r="H19" i="21"/>
  <c r="I19" i="21"/>
  <c r="J19" i="21"/>
  <c r="E18" i="21"/>
  <c r="E19" i="21"/>
  <c r="AC22" i="22"/>
  <c r="AD22" i="22" s="1"/>
  <c r="AD23" i="22"/>
  <c r="AC24" i="22"/>
  <c r="AD24" i="22" s="1"/>
  <c r="AC25" i="22"/>
  <c r="AD25" i="22" s="1"/>
  <c r="AC26" i="22"/>
  <c r="AD26" i="22" s="1"/>
  <c r="AC27" i="22"/>
  <c r="AD27" i="22" s="1"/>
  <c r="AC28" i="22"/>
  <c r="AD28" i="22" s="1"/>
  <c r="AC29" i="22"/>
  <c r="AD29" i="22" s="1"/>
  <c r="AC30" i="22"/>
  <c r="AD30" i="22" s="1"/>
  <c r="AC21" i="22"/>
  <c r="AD21" i="22" s="1"/>
  <c r="F4" i="21"/>
  <c r="H22" i="22"/>
  <c r="V11" i="15" s="1"/>
  <c r="H23" i="22"/>
  <c r="V12" i="15" s="1"/>
  <c r="H24" i="22"/>
  <c r="V13" i="15" s="1"/>
  <c r="Y13" i="15" s="1"/>
  <c r="H25" i="22"/>
  <c r="V14" i="15" s="1"/>
  <c r="H26" i="22"/>
  <c r="V15" i="15" s="1"/>
  <c r="H27" i="22"/>
  <c r="V16" i="15" s="1"/>
  <c r="H28" i="22"/>
  <c r="V17" i="15" s="1"/>
  <c r="H29" i="22"/>
  <c r="H21" i="22"/>
  <c r="Z17" i="15" l="1"/>
  <c r="Y17" i="15"/>
  <c r="Z15" i="15"/>
  <c r="Y15" i="15"/>
  <c r="Z14" i="15"/>
  <c r="Y14" i="15"/>
  <c r="Z16" i="15"/>
  <c r="Y16" i="15"/>
  <c r="AA17" i="15"/>
  <c r="U17" i="15"/>
  <c r="U16" i="15"/>
  <c r="U12" i="15"/>
  <c r="V10" i="15"/>
  <c r="E2" i="25"/>
  <c r="AA14" i="15"/>
  <c r="AB14" i="15"/>
  <c r="AA13" i="15"/>
  <c r="U13" i="15"/>
  <c r="U11" i="15"/>
  <c r="U14" i="15"/>
  <c r="U15" i="15"/>
  <c r="C17" i="5"/>
  <c r="G17" i="5" s="1"/>
  <c r="V18" i="15"/>
  <c r="C16" i="5"/>
  <c r="G16" i="5" s="1"/>
  <c r="H19" i="26"/>
  <c r="H17" i="26"/>
  <c r="AB16" i="15" s="1"/>
  <c r="C15" i="5"/>
  <c r="H14" i="26"/>
  <c r="B14" i="26" s="1"/>
  <c r="C12" i="5"/>
  <c r="H11" i="26"/>
  <c r="B11" i="26" s="1"/>
  <c r="C9" i="5"/>
  <c r="I9" i="5" s="1"/>
  <c r="H15" i="26"/>
  <c r="C13" i="5"/>
  <c r="H13" i="26"/>
  <c r="B13" i="26" s="1"/>
  <c r="C11" i="5"/>
  <c r="H18" i="26"/>
  <c r="H16" i="26"/>
  <c r="AB15" i="15" s="1"/>
  <c r="C14" i="5"/>
  <c r="I14" i="5" s="1"/>
  <c r="H12" i="26"/>
  <c r="B12" i="26" s="1"/>
  <c r="C10" i="5"/>
  <c r="F18" i="21"/>
  <c r="AE21" i="22"/>
  <c r="AF21" i="22" s="1"/>
  <c r="C6" i="21"/>
  <c r="I21" i="22"/>
  <c r="W10" i="15" s="1"/>
  <c r="C11" i="21"/>
  <c r="E11" i="21" s="1"/>
  <c r="I7" i="6" s="1" a="1"/>
  <c r="I26" i="22"/>
  <c r="W15" i="15" s="1"/>
  <c r="C7" i="21"/>
  <c r="E7" i="21" s="1"/>
  <c r="E7" i="6" s="1" a="1"/>
  <c r="I22" i="22"/>
  <c r="W11" i="15" s="1"/>
  <c r="C14" i="21"/>
  <c r="E14" i="21" s="1"/>
  <c r="I29" i="22"/>
  <c r="W18" i="15" s="1"/>
  <c r="C10" i="21"/>
  <c r="E10" i="21" s="1"/>
  <c r="H7" i="6" s="1" a="1"/>
  <c r="I25" i="22"/>
  <c r="W14" i="15" s="1"/>
  <c r="C13" i="21"/>
  <c r="I28" i="22"/>
  <c r="W17" i="15" s="1"/>
  <c r="C9" i="21"/>
  <c r="E9" i="21" s="1"/>
  <c r="G7" i="6" s="1" a="1"/>
  <c r="I24" i="22"/>
  <c r="W13" i="15" s="1"/>
  <c r="C12" i="21"/>
  <c r="E12" i="21" s="1"/>
  <c r="I27" i="22"/>
  <c r="W16" i="15" s="1"/>
  <c r="C8" i="21"/>
  <c r="F7" i="6" s="1" a="1"/>
  <c r="I23" i="22"/>
  <c r="W12" i="15" s="1"/>
  <c r="AD20" i="22"/>
  <c r="AD36" i="22" s="1"/>
  <c r="G4" i="21"/>
  <c r="F2" i="25" s="1"/>
  <c r="Z18" i="15" l="1"/>
  <c r="Y18" i="15"/>
  <c r="U10" i="15"/>
  <c r="Z13" i="15"/>
  <c r="Z12" i="15"/>
  <c r="Z11" i="15"/>
  <c r="B16" i="5"/>
  <c r="AB17" i="15"/>
  <c r="AA16" i="15"/>
  <c r="AA15" i="15"/>
  <c r="AB13" i="15"/>
  <c r="B17" i="5"/>
  <c r="B17" i="26"/>
  <c r="B16" i="26"/>
  <c r="B15" i="26"/>
  <c r="AA10" i="15"/>
  <c r="Z10" i="15"/>
  <c r="AB10" i="15"/>
  <c r="I7" i="6"/>
  <c r="I12" i="6"/>
  <c r="I11" i="6"/>
  <c r="I8" i="6"/>
  <c r="I10" i="6"/>
  <c r="I9" i="6"/>
  <c r="AE28" i="22"/>
  <c r="AF28" i="22" s="1"/>
  <c r="AG28" i="22" s="1"/>
  <c r="AH28" i="22" s="1"/>
  <c r="AI28" i="22" s="1"/>
  <c r="J7" i="6" a="1"/>
  <c r="AE30" i="22"/>
  <c r="AF30" i="22" s="1"/>
  <c r="AG30" i="22" s="1"/>
  <c r="AH30" i="22" s="1"/>
  <c r="AI30" i="22" s="1"/>
  <c r="L7" i="6" a="1"/>
  <c r="H7" i="6"/>
  <c r="H12" i="6"/>
  <c r="H10" i="6"/>
  <c r="H9" i="6"/>
  <c r="H8" i="6"/>
  <c r="H11" i="6"/>
  <c r="H23" i="6" s="1"/>
  <c r="AA12" i="15"/>
  <c r="AB12" i="15"/>
  <c r="AB11" i="15"/>
  <c r="AA11" i="15"/>
  <c r="F7" i="6"/>
  <c r="F12" i="6"/>
  <c r="F8" i="6"/>
  <c r="F11" i="6"/>
  <c r="F10" i="6"/>
  <c r="F9" i="6"/>
  <c r="G7" i="6"/>
  <c r="G19" i="6" s="1"/>
  <c r="G10" i="6"/>
  <c r="G9" i="6"/>
  <c r="G12" i="6"/>
  <c r="G11" i="6"/>
  <c r="G8" i="6"/>
  <c r="E7" i="6"/>
  <c r="E8" i="6"/>
  <c r="E12" i="6"/>
  <c r="E9" i="6"/>
  <c r="E11" i="6"/>
  <c r="E10" i="6"/>
  <c r="D6" i="6" a="1"/>
  <c r="AA18" i="15"/>
  <c r="AB18" i="15"/>
  <c r="U18" i="15"/>
  <c r="B18" i="26"/>
  <c r="B19" i="26"/>
  <c r="O43" i="25"/>
  <c r="M43" i="25" s="1"/>
  <c r="O46" i="25"/>
  <c r="M46" i="25" s="1"/>
  <c r="P29" i="25"/>
  <c r="O31" i="25"/>
  <c r="M31" i="25" s="1"/>
  <c r="P46" i="25"/>
  <c r="P38" i="25"/>
  <c r="P26" i="25"/>
  <c r="O15" i="25"/>
  <c r="M15" i="25" s="1"/>
  <c r="P40" i="25"/>
  <c r="O60" i="25"/>
  <c r="M60" i="25" s="1"/>
  <c r="O65" i="25"/>
  <c r="P15" i="25"/>
  <c r="P37" i="25"/>
  <c r="B13" i="5"/>
  <c r="G13" i="5"/>
  <c r="P64" i="25"/>
  <c r="P50" i="25"/>
  <c r="P34" i="25"/>
  <c r="O18" i="25"/>
  <c r="P17" i="25"/>
  <c r="O24" i="25"/>
  <c r="M24" i="25" s="1"/>
  <c r="P23" i="25"/>
  <c r="P28" i="25"/>
  <c r="P44" i="25"/>
  <c r="P68" i="25"/>
  <c r="O41" i="25"/>
  <c r="M41" i="25" s="1"/>
  <c r="O23" i="25"/>
  <c r="M23" i="25" s="1"/>
  <c r="O26" i="25"/>
  <c r="P63" i="25"/>
  <c r="O5" i="25"/>
  <c r="M5" i="25" s="1"/>
  <c r="O17" i="25"/>
  <c r="P5" i="25"/>
  <c r="O21" i="25"/>
  <c r="M21" i="25" s="1"/>
  <c r="O29" i="25"/>
  <c r="P21" i="25"/>
  <c r="P35" i="25"/>
  <c r="O36" i="25"/>
  <c r="M36" i="25" s="1"/>
  <c r="O63" i="25"/>
  <c r="M63" i="25" s="1"/>
  <c r="P43" i="25"/>
  <c r="O67" i="25"/>
  <c r="M67" i="25" s="1"/>
  <c r="P13" i="25"/>
  <c r="P66" i="25"/>
  <c r="O66" i="25"/>
  <c r="P65" i="25"/>
  <c r="P69" i="25"/>
  <c r="P25" i="25"/>
  <c r="O69" i="25"/>
  <c r="M69" i="25" s="1"/>
  <c r="O37" i="25"/>
  <c r="O44" i="25"/>
  <c r="P31" i="25"/>
  <c r="O48" i="25"/>
  <c r="M48" i="25" s="1"/>
  <c r="P49" i="25"/>
  <c r="P8" i="25"/>
  <c r="P51" i="25"/>
  <c r="P16" i="25"/>
  <c r="O25" i="25"/>
  <c r="M25" i="25" s="1"/>
  <c r="R5" i="25"/>
  <c r="R21" i="25"/>
  <c r="R37" i="25"/>
  <c r="R53" i="25"/>
  <c r="R69" i="25"/>
  <c r="S18" i="25"/>
  <c r="T18" i="25" s="1"/>
  <c r="S34" i="25"/>
  <c r="T34" i="25" s="1"/>
  <c r="S50" i="25"/>
  <c r="T50" i="25" s="1"/>
  <c r="S66" i="25"/>
  <c r="T66" i="25" s="1"/>
  <c r="R6" i="25"/>
  <c r="R22" i="25"/>
  <c r="R38" i="25"/>
  <c r="R3" i="25"/>
  <c r="S19" i="25"/>
  <c r="T19" i="25" s="1"/>
  <c r="S35" i="25"/>
  <c r="T35" i="25" s="1"/>
  <c r="S51" i="25"/>
  <c r="T51" i="25" s="1"/>
  <c r="S67" i="25"/>
  <c r="T67" i="25" s="1"/>
  <c r="R23" i="25"/>
  <c r="R55" i="25"/>
  <c r="S20" i="25"/>
  <c r="T20" i="25" s="1"/>
  <c r="S36" i="25"/>
  <c r="T36" i="25" s="1"/>
  <c r="S52" i="25"/>
  <c r="T52" i="25" s="1"/>
  <c r="S68" i="25"/>
  <c r="T68" i="25" s="1"/>
  <c r="R48" i="25"/>
  <c r="S29" i="25"/>
  <c r="T29" i="25" s="1"/>
  <c r="R52" i="25"/>
  <c r="S49" i="25"/>
  <c r="T49" i="25" s="1"/>
  <c r="R8" i="25"/>
  <c r="R24" i="25"/>
  <c r="R40" i="25"/>
  <c r="S5" i="25"/>
  <c r="T5" i="25" s="1"/>
  <c r="S21" i="25"/>
  <c r="T21" i="25" s="1"/>
  <c r="S37" i="25"/>
  <c r="T37" i="25" s="1"/>
  <c r="S53" i="25"/>
  <c r="T53" i="25" s="1"/>
  <c r="S69" i="25"/>
  <c r="T69" i="25" s="1"/>
  <c r="R27" i="25"/>
  <c r="S8" i="25"/>
  <c r="T8" i="25" s="1"/>
  <c r="R12" i="25"/>
  <c r="R60" i="25"/>
  <c r="S57" i="25"/>
  <c r="T57" i="25" s="1"/>
  <c r="R29" i="25"/>
  <c r="S58" i="25"/>
  <c r="T58" i="25" s="1"/>
  <c r="R14" i="25"/>
  <c r="R62" i="25"/>
  <c r="S43" i="25"/>
  <c r="T43" i="25" s="1"/>
  <c r="R15" i="25"/>
  <c r="R63" i="25"/>
  <c r="S44" i="25"/>
  <c r="T44" i="25" s="1"/>
  <c r="R64" i="25"/>
  <c r="S45" i="25"/>
  <c r="R9" i="25"/>
  <c r="R25" i="25"/>
  <c r="R41" i="25"/>
  <c r="R57" i="25"/>
  <c r="S6" i="25"/>
  <c r="T6" i="25" s="1"/>
  <c r="S22" i="25"/>
  <c r="T22" i="25" s="1"/>
  <c r="S38" i="25"/>
  <c r="T38" i="25" s="1"/>
  <c r="S3" i="25"/>
  <c r="T3" i="25" s="1"/>
  <c r="R43" i="25"/>
  <c r="S24" i="25"/>
  <c r="T24" i="25" s="1"/>
  <c r="R44" i="25"/>
  <c r="S25" i="25"/>
  <c r="T25" i="25" s="1"/>
  <c r="S26" i="25"/>
  <c r="T26" i="25" s="1"/>
  <c r="R30" i="25"/>
  <c r="R47" i="25"/>
  <c r="S28" i="25"/>
  <c r="T28" i="25" s="1"/>
  <c r="R16" i="25"/>
  <c r="S13" i="25"/>
  <c r="T13" i="25" s="1"/>
  <c r="S61" i="25"/>
  <c r="T61" i="25" s="1"/>
  <c r="S65" i="25"/>
  <c r="T65" i="25" s="1"/>
  <c r="R26" i="25"/>
  <c r="R42" i="25"/>
  <c r="R58" i="25"/>
  <c r="S23" i="25"/>
  <c r="T23" i="25" s="1"/>
  <c r="O3" i="25"/>
  <c r="S40" i="25"/>
  <c r="T40" i="25" s="1"/>
  <c r="R28" i="25"/>
  <c r="S9" i="25"/>
  <c r="T9" i="25" s="1"/>
  <c r="S41" i="25"/>
  <c r="T41" i="25" s="1"/>
  <c r="R13" i="25"/>
  <c r="R61" i="25"/>
  <c r="R46" i="25"/>
  <c r="S27" i="25"/>
  <c r="T27" i="25" s="1"/>
  <c r="R31" i="25"/>
  <c r="S12" i="25"/>
  <c r="S60" i="25"/>
  <c r="T60" i="25" s="1"/>
  <c r="R68" i="25"/>
  <c r="R17" i="25"/>
  <c r="R49" i="25"/>
  <c r="R65" i="25"/>
  <c r="S14" i="25"/>
  <c r="T14" i="25" s="1"/>
  <c r="S30" i="25"/>
  <c r="T30" i="25" s="1"/>
  <c r="S46" i="25"/>
  <c r="T46" i="25" s="1"/>
  <c r="S62" i="25"/>
  <c r="T62" i="25" s="1"/>
  <c r="R18" i="25"/>
  <c r="R34" i="25"/>
  <c r="R50" i="25"/>
  <c r="R66" i="25"/>
  <c r="S15" i="25"/>
  <c r="T15" i="25" s="1"/>
  <c r="S31" i="25"/>
  <c r="T31" i="25" s="1"/>
  <c r="S47" i="25"/>
  <c r="T47" i="25" s="1"/>
  <c r="S63" i="25"/>
  <c r="T63" i="25" s="1"/>
  <c r="R19" i="25"/>
  <c r="R35" i="25"/>
  <c r="R51" i="25"/>
  <c r="R67" i="25"/>
  <c r="S16" i="25"/>
  <c r="T16" i="25" s="1"/>
  <c r="S48" i="25"/>
  <c r="T48" i="25" s="1"/>
  <c r="S64" i="25"/>
  <c r="T64" i="25" s="1"/>
  <c r="R20" i="25"/>
  <c r="R36" i="25"/>
  <c r="S17" i="25"/>
  <c r="T17" i="25" s="1"/>
  <c r="G9" i="5"/>
  <c r="R54" i="25" s="1"/>
  <c r="B9" i="5"/>
  <c r="O9" i="5"/>
  <c r="P57" i="25"/>
  <c r="P7" i="25"/>
  <c r="P60" i="25"/>
  <c r="P6" i="25"/>
  <c r="O49" i="25"/>
  <c r="G10" i="5"/>
  <c r="B10" i="5"/>
  <c r="O20" i="25"/>
  <c r="M20" i="25" s="1"/>
  <c r="P20" i="25"/>
  <c r="O13" i="25"/>
  <c r="M13" i="25" s="1"/>
  <c r="O52" i="25"/>
  <c r="M52" i="25" s="1"/>
  <c r="P18" i="25"/>
  <c r="P9" i="25"/>
  <c r="G11" i="5"/>
  <c r="O58" i="25" s="1"/>
  <c r="M58" i="25" s="1"/>
  <c r="B11" i="5"/>
  <c r="O61" i="25"/>
  <c r="P61" i="25"/>
  <c r="O9" i="25"/>
  <c r="O27" i="25"/>
  <c r="O35" i="25"/>
  <c r="M35" i="25" s="1"/>
  <c r="O57" i="25"/>
  <c r="P47" i="25"/>
  <c r="O6" i="25"/>
  <c r="P14" i="25"/>
  <c r="O62" i="25"/>
  <c r="P27" i="25"/>
  <c r="P41" i="25"/>
  <c r="G14" i="5"/>
  <c r="B14" i="5"/>
  <c r="O47" i="25"/>
  <c r="O40" i="25"/>
  <c r="O64" i="25"/>
  <c r="M64" i="25" s="1"/>
  <c r="P48" i="25"/>
  <c r="P24" i="25"/>
  <c r="O14" i="25"/>
  <c r="M14" i="25" s="1"/>
  <c r="O8" i="25"/>
  <c r="M8" i="25" s="1"/>
  <c r="P52" i="25"/>
  <c r="O28" i="25"/>
  <c r="O22" i="25"/>
  <c r="O38" i="25"/>
  <c r="B12" i="5"/>
  <c r="G12" i="5"/>
  <c r="R10" i="25" s="1"/>
  <c r="O51" i="25"/>
  <c r="O34" i="25"/>
  <c r="M34" i="25" s="1"/>
  <c r="B15" i="5"/>
  <c r="G15" i="5"/>
  <c r="P22" i="25"/>
  <c r="P19" i="25"/>
  <c r="O50" i="25"/>
  <c r="P67" i="25"/>
  <c r="O16" i="25"/>
  <c r="M16" i="25" s="1"/>
  <c r="O19" i="25"/>
  <c r="P62" i="25"/>
  <c r="P36" i="25"/>
  <c r="O68" i="25"/>
  <c r="AD45" i="22"/>
  <c r="AD44" i="22"/>
  <c r="E13" i="21"/>
  <c r="E44" i="25"/>
  <c r="AD43" i="22"/>
  <c r="E9" i="25"/>
  <c r="E24" i="25"/>
  <c r="E14" i="25"/>
  <c r="E20" i="25"/>
  <c r="E63" i="25"/>
  <c r="E66" i="25"/>
  <c r="E62" i="25"/>
  <c r="E28" i="25"/>
  <c r="E23" i="25"/>
  <c r="G13" i="26"/>
  <c r="E13" i="26"/>
  <c r="F13" i="26"/>
  <c r="E56" i="25"/>
  <c r="E6" i="25"/>
  <c r="E48" i="25"/>
  <c r="E13" i="5"/>
  <c r="X14" i="15" s="1"/>
  <c r="F13" i="5"/>
  <c r="K13" i="5"/>
  <c r="D13" i="5"/>
  <c r="I13" i="5"/>
  <c r="F16" i="5"/>
  <c r="E16" i="5"/>
  <c r="X17" i="15" s="1"/>
  <c r="D16" i="5"/>
  <c r="I16" i="5"/>
  <c r="K16" i="5"/>
  <c r="E36" i="25"/>
  <c r="E51" i="25"/>
  <c r="E18" i="25"/>
  <c r="E41" i="25"/>
  <c r="E60" i="25"/>
  <c r="G14" i="26"/>
  <c r="E14" i="26"/>
  <c r="F14" i="26"/>
  <c r="D14" i="5"/>
  <c r="E14" i="5"/>
  <c r="X15" i="15" s="1"/>
  <c r="F14" i="5"/>
  <c r="O14" i="5"/>
  <c r="K14" i="5"/>
  <c r="E69" i="25"/>
  <c r="E26" i="25"/>
  <c r="E49" i="25"/>
  <c r="D11" i="5"/>
  <c r="E11" i="5"/>
  <c r="X12" i="15" s="1"/>
  <c r="I11" i="5"/>
  <c r="O11" i="5" s="1"/>
  <c r="F11" i="5"/>
  <c r="E15" i="25"/>
  <c r="E22" i="25"/>
  <c r="E11" i="26"/>
  <c r="F11" i="26"/>
  <c r="G11" i="26"/>
  <c r="E35" i="25"/>
  <c r="F12" i="5"/>
  <c r="D12" i="5"/>
  <c r="K12" i="5"/>
  <c r="E12" i="5"/>
  <c r="X13" i="15" s="1"/>
  <c r="I12" i="5"/>
  <c r="O12" i="5" s="1"/>
  <c r="E38" i="25"/>
  <c r="E29" i="25"/>
  <c r="E34" i="25"/>
  <c r="E7" i="25"/>
  <c r="E27" i="25"/>
  <c r="G17" i="26"/>
  <c r="F17" i="26"/>
  <c r="E17" i="26"/>
  <c r="E52" i="25"/>
  <c r="Q25" i="21"/>
  <c r="Q41" i="21"/>
  <c r="Q44" i="21"/>
  <c r="R44" i="21" s="1"/>
  <c r="Q30" i="21"/>
  <c r="Q32" i="21"/>
  <c r="Q38" i="21"/>
  <c r="R38" i="21" s="1"/>
  <c r="Q23" i="21"/>
  <c r="Q26" i="21"/>
  <c r="Q42" i="21"/>
  <c r="Q28" i="21"/>
  <c r="Q46" i="21"/>
  <c r="R46" i="21" s="1"/>
  <c r="Q47" i="21"/>
  <c r="R47" i="21" s="1"/>
  <c r="Q48" i="21"/>
  <c r="Q49" i="21"/>
  <c r="R49" i="21" s="1"/>
  <c r="Q20" i="21"/>
  <c r="R20" i="21" s="1"/>
  <c r="Q21" i="21"/>
  <c r="R21" i="21" s="1"/>
  <c r="Q22" i="21"/>
  <c r="Q39" i="21"/>
  <c r="R39" i="21" s="1"/>
  <c r="Q24" i="21"/>
  <c r="Q27" i="21"/>
  <c r="Q43" i="21"/>
  <c r="Q31" i="21"/>
  <c r="Q35" i="21"/>
  <c r="Q36" i="21"/>
  <c r="R36" i="21" s="1"/>
  <c r="Q37" i="21"/>
  <c r="R37" i="21" s="1"/>
  <c r="Q40" i="21"/>
  <c r="Q29" i="21"/>
  <c r="Q45" i="21"/>
  <c r="Q33" i="21"/>
  <c r="Q34" i="21"/>
  <c r="E18" i="26"/>
  <c r="G18" i="26"/>
  <c r="F18" i="26"/>
  <c r="E64" i="25"/>
  <c r="E61" i="25"/>
  <c r="G15" i="26"/>
  <c r="F15" i="26"/>
  <c r="E15" i="26"/>
  <c r="E25" i="25"/>
  <c r="D9" i="5"/>
  <c r="E9" i="5"/>
  <c r="X10" i="15" s="1"/>
  <c r="F9" i="5"/>
  <c r="D38" i="25"/>
  <c r="D41" i="25"/>
  <c r="D35" i="25"/>
  <c r="D23" i="25"/>
  <c r="D27" i="25"/>
  <c r="D28" i="25"/>
  <c r="D7" i="25"/>
  <c r="D20" i="25"/>
  <c r="D18" i="25"/>
  <c r="D24" i="25"/>
  <c r="D48" i="25"/>
  <c r="D44" i="25"/>
  <c r="D9" i="25"/>
  <c r="D43" i="25"/>
  <c r="D46" i="25"/>
  <c r="D25" i="25"/>
  <c r="D61" i="25"/>
  <c r="D40" i="25"/>
  <c r="D13" i="25"/>
  <c r="D65" i="25"/>
  <c r="D22" i="25"/>
  <c r="D5" i="25"/>
  <c r="D17" i="25"/>
  <c r="D69" i="25"/>
  <c r="D49" i="25"/>
  <c r="D60" i="25"/>
  <c r="D66" i="25"/>
  <c r="D64" i="25"/>
  <c r="D15" i="25"/>
  <c r="D47" i="25"/>
  <c r="D37" i="25"/>
  <c r="D56" i="25"/>
  <c r="D8" i="25"/>
  <c r="D16" i="25"/>
  <c r="D63" i="25"/>
  <c r="D36" i="25"/>
  <c r="D50" i="25"/>
  <c r="D14" i="25"/>
  <c r="D68" i="25"/>
  <c r="D34" i="25"/>
  <c r="D29" i="25"/>
  <c r="D26" i="25"/>
  <c r="D51" i="25"/>
  <c r="D62" i="25"/>
  <c r="D31" i="25"/>
  <c r="D6" i="25"/>
  <c r="D57" i="25"/>
  <c r="D52" i="25"/>
  <c r="D67" i="25"/>
  <c r="D21" i="25"/>
  <c r="D19" i="25"/>
  <c r="E19" i="25"/>
  <c r="E5" i="25"/>
  <c r="E13" i="25"/>
  <c r="E17" i="25"/>
  <c r="E40" i="25"/>
  <c r="E50" i="25"/>
  <c r="E67" i="25"/>
  <c r="I10" i="5"/>
  <c r="D55" i="25" s="1"/>
  <c r="D10" i="5"/>
  <c r="F10" i="5"/>
  <c r="E10" i="5"/>
  <c r="X11" i="15" s="1"/>
  <c r="E17" i="5"/>
  <c r="X18" i="15" s="1"/>
  <c r="I17" i="5"/>
  <c r="P3" i="25" s="1"/>
  <c r="D17" i="5"/>
  <c r="K17" i="5"/>
  <c r="F17" i="5"/>
  <c r="E57" i="25"/>
  <c r="F16" i="26"/>
  <c r="G16" i="26"/>
  <c r="E16" i="26"/>
  <c r="E65" i="25"/>
  <c r="E8" i="25"/>
  <c r="E31" i="25"/>
  <c r="E37" i="25"/>
  <c r="E68" i="25"/>
  <c r="E21" i="25"/>
  <c r="D15" i="5"/>
  <c r="K15" i="5"/>
  <c r="F15" i="5"/>
  <c r="E15" i="5"/>
  <c r="X16" i="15" s="1"/>
  <c r="I15" i="5"/>
  <c r="O15" i="5" s="1"/>
  <c r="E16" i="25"/>
  <c r="E47" i="25"/>
  <c r="E46" i="25"/>
  <c r="F12" i="26"/>
  <c r="G12" i="26"/>
  <c r="E12" i="26"/>
  <c r="G19" i="26"/>
  <c r="E19" i="26"/>
  <c r="F19" i="26"/>
  <c r="F9" i="25"/>
  <c r="F22" i="25"/>
  <c r="F63" i="25"/>
  <c r="F21" i="25"/>
  <c r="F29" i="25"/>
  <c r="F6" i="25"/>
  <c r="F44" i="25"/>
  <c r="F50" i="25"/>
  <c r="F16" i="25"/>
  <c r="F37" i="25"/>
  <c r="F51" i="25"/>
  <c r="F13" i="25"/>
  <c r="F65" i="25"/>
  <c r="F56" i="25"/>
  <c r="F64" i="25"/>
  <c r="F14" i="25"/>
  <c r="F28" i="25"/>
  <c r="F66" i="25"/>
  <c r="F15" i="25"/>
  <c r="F31" i="25"/>
  <c r="F69" i="25"/>
  <c r="F46" i="25"/>
  <c r="F52" i="25"/>
  <c r="F35" i="25"/>
  <c r="F38" i="25"/>
  <c r="F40" i="25"/>
  <c r="F67" i="25"/>
  <c r="F49" i="25"/>
  <c r="F68" i="25"/>
  <c r="F7" i="25"/>
  <c r="F18" i="25"/>
  <c r="F62" i="25"/>
  <c r="F20" i="25"/>
  <c r="F27" i="25"/>
  <c r="F41" i="25"/>
  <c r="F8" i="25"/>
  <c r="F23" i="25"/>
  <c r="F24" i="25"/>
  <c r="F57" i="25"/>
  <c r="F34" i="25"/>
  <c r="F47" i="25"/>
  <c r="F36" i="25"/>
  <c r="F60" i="25"/>
  <c r="F48" i="25"/>
  <c r="F5" i="25"/>
  <c r="F25" i="25"/>
  <c r="F61" i="25"/>
  <c r="F26" i="25"/>
  <c r="F17" i="25"/>
  <c r="F19" i="25"/>
  <c r="AD42" i="22"/>
  <c r="D12" i="21"/>
  <c r="D11" i="21"/>
  <c r="AE27" i="22"/>
  <c r="AF27" i="22" s="1"/>
  <c r="AG27" i="22" s="1"/>
  <c r="AH27" i="22" s="1"/>
  <c r="AI27" i="22" s="1"/>
  <c r="D8" i="21"/>
  <c r="AE24" i="22"/>
  <c r="AF24" i="22" s="1"/>
  <c r="AG24" i="22" s="1"/>
  <c r="AH24" i="22" s="1"/>
  <c r="AI24" i="22" s="1"/>
  <c r="G40" i="19" s="1"/>
  <c r="D9" i="21"/>
  <c r="AE25" i="22"/>
  <c r="AF25" i="22" s="1"/>
  <c r="AG25" i="22" s="1"/>
  <c r="AH25" i="22" s="1"/>
  <c r="AI25" i="22" s="1"/>
  <c r="G41" i="19" s="1"/>
  <c r="D10" i="21"/>
  <c r="AE26" i="22"/>
  <c r="AF26" i="22" s="1"/>
  <c r="AG26" i="22" s="1"/>
  <c r="AH26" i="22" s="1"/>
  <c r="AI26" i="22" s="1"/>
  <c r="D7" i="21"/>
  <c r="AE23" i="22"/>
  <c r="AF23" i="22" s="1"/>
  <c r="AG23" i="22" s="1"/>
  <c r="AH23" i="22" s="1"/>
  <c r="AI23" i="22" s="1"/>
  <c r="G39" i="19" s="1"/>
  <c r="D6" i="21"/>
  <c r="D13" i="21"/>
  <c r="D14" i="21"/>
  <c r="AD41" i="22"/>
  <c r="AD40" i="22"/>
  <c r="AD38" i="22"/>
  <c r="AD39" i="22"/>
  <c r="AD37" i="22"/>
  <c r="AD48" i="22" s="1"/>
  <c r="AG21" i="22"/>
  <c r="H4" i="21"/>
  <c r="G2" i="25" s="1"/>
  <c r="G18" i="21"/>
  <c r="O7" i="25" l="1"/>
  <c r="R7" i="25"/>
  <c r="S7" i="25"/>
  <c r="T7" i="25" s="1"/>
  <c r="P56" i="25"/>
  <c r="O56" i="25"/>
  <c r="M56" i="25" s="1"/>
  <c r="S56" i="25"/>
  <c r="T56" i="25" s="1"/>
  <c r="R56" i="25"/>
  <c r="U19" i="15"/>
  <c r="S39" i="25"/>
  <c r="R33" i="25"/>
  <c r="P55" i="25"/>
  <c r="S55" i="25"/>
  <c r="T55" i="25" s="1"/>
  <c r="H20" i="6"/>
  <c r="I23" i="6"/>
  <c r="R27" i="21"/>
  <c r="R29" i="21"/>
  <c r="R33" i="21"/>
  <c r="R43" i="21"/>
  <c r="R22" i="21"/>
  <c r="R48" i="21"/>
  <c r="R42" i="21"/>
  <c r="R32" i="21"/>
  <c r="R30" i="21"/>
  <c r="R35" i="21"/>
  <c r="R34" i="21"/>
  <c r="R40" i="21"/>
  <c r="R31" i="21"/>
  <c r="R28" i="21"/>
  <c r="F53" i="25"/>
  <c r="R41" i="21"/>
  <c r="R45" i="21"/>
  <c r="H22" i="6"/>
  <c r="I22" i="6"/>
  <c r="I20" i="6"/>
  <c r="G20" i="6"/>
  <c r="G22" i="6"/>
  <c r="H21" i="6"/>
  <c r="I21" i="6"/>
  <c r="T12" i="25"/>
  <c r="E53" i="25"/>
  <c r="P53" i="25"/>
  <c r="D53" i="25"/>
  <c r="R32" i="25"/>
  <c r="R4" i="25"/>
  <c r="P45" i="25"/>
  <c r="F45" i="25"/>
  <c r="R45" i="25"/>
  <c r="T45" i="25" s="1"/>
  <c r="G23" i="6"/>
  <c r="F21" i="6"/>
  <c r="P58" i="25"/>
  <c r="Q58" i="25" s="1"/>
  <c r="F58" i="25"/>
  <c r="H14" i="6"/>
  <c r="H19" i="6"/>
  <c r="AE29" i="22"/>
  <c r="AF29" i="22" s="1"/>
  <c r="AG29" i="22" s="1"/>
  <c r="AH29" i="22" s="1"/>
  <c r="AI29" i="22" s="1"/>
  <c r="K7" i="6" a="1"/>
  <c r="J7" i="6"/>
  <c r="J10" i="6"/>
  <c r="J8" i="6"/>
  <c r="J12" i="6"/>
  <c r="J11" i="6"/>
  <c r="J9" i="6"/>
  <c r="J21" i="6" s="1"/>
  <c r="L7" i="6"/>
  <c r="L11" i="6"/>
  <c r="L10" i="6"/>
  <c r="L12" i="6"/>
  <c r="L9" i="6"/>
  <c r="L21" i="6" s="1"/>
  <c r="L8" i="6"/>
  <c r="I14" i="6"/>
  <c r="I19" i="6"/>
  <c r="F23" i="6"/>
  <c r="E19" i="6"/>
  <c r="E21" i="6"/>
  <c r="F20" i="6"/>
  <c r="E22" i="6"/>
  <c r="F19" i="6"/>
  <c r="E58" i="25"/>
  <c r="D58" i="25"/>
  <c r="S59" i="25"/>
  <c r="E14" i="6"/>
  <c r="F14" i="6"/>
  <c r="D6" i="6"/>
  <c r="D17" i="6" s="1"/>
  <c r="Q6" i="6" s="1"/>
  <c r="J6" i="6"/>
  <c r="J17" i="6" s="1"/>
  <c r="W6" i="6" s="1"/>
  <c r="F6" i="6"/>
  <c r="F17" i="6" s="1"/>
  <c r="S6" i="6" s="1"/>
  <c r="I6" i="6"/>
  <c r="I17" i="6" s="1"/>
  <c r="V6" i="6" s="1"/>
  <c r="E6" i="6"/>
  <c r="E17" i="6" s="1"/>
  <c r="R6" i="6" s="1"/>
  <c r="L6" i="6"/>
  <c r="L17" i="6" s="1"/>
  <c r="Y6" i="6" s="1"/>
  <c r="H6" i="6"/>
  <c r="H17" i="6" s="1"/>
  <c r="U6" i="6" s="1"/>
  <c r="K6" i="6"/>
  <c r="K17" i="6" s="1"/>
  <c r="X6" i="6" s="1"/>
  <c r="G6" i="6"/>
  <c r="G17" i="6" s="1"/>
  <c r="T6" i="6" s="1"/>
  <c r="E20" i="6"/>
  <c r="G14" i="6"/>
  <c r="AE22" i="22"/>
  <c r="AF22" i="22" s="1"/>
  <c r="D7" i="6" a="1"/>
  <c r="E23" i="6"/>
  <c r="G21" i="6"/>
  <c r="F22" i="6"/>
  <c r="F59" i="25"/>
  <c r="Q31" i="25"/>
  <c r="Q29" i="25"/>
  <c r="D42" i="25"/>
  <c r="E42" i="25"/>
  <c r="S42" i="25"/>
  <c r="T42" i="25" s="1"/>
  <c r="O42" i="25"/>
  <c r="M42" i="25" s="1"/>
  <c r="P42" i="25"/>
  <c r="F42" i="25"/>
  <c r="E59" i="25"/>
  <c r="D59" i="25"/>
  <c r="P59" i="25"/>
  <c r="R59" i="25"/>
  <c r="P39" i="25"/>
  <c r="Q43" i="25"/>
  <c r="Q46" i="25"/>
  <c r="S32" i="25"/>
  <c r="F54" i="25"/>
  <c r="S33" i="25"/>
  <c r="T33" i="25" s="1"/>
  <c r="P33" i="25"/>
  <c r="D33" i="25"/>
  <c r="O13" i="5"/>
  <c r="O33" i="25" s="1"/>
  <c r="M33" i="25" s="1"/>
  <c r="Q38" i="25"/>
  <c r="O54" i="25"/>
  <c r="M54" i="25" s="1"/>
  <c r="F33" i="25"/>
  <c r="S4" i="25"/>
  <c r="T4" i="25" s="1"/>
  <c r="R39" i="25"/>
  <c r="O32" i="25"/>
  <c r="M32" i="25" s="1"/>
  <c r="E32" i="25"/>
  <c r="P32" i="25"/>
  <c r="F10" i="25"/>
  <c r="Q19" i="25"/>
  <c r="P11" i="25"/>
  <c r="D39" i="25"/>
  <c r="E39" i="25"/>
  <c r="D32" i="25"/>
  <c r="F32" i="25"/>
  <c r="Q28" i="25"/>
  <c r="Q15" i="25"/>
  <c r="Q60" i="25"/>
  <c r="F4" i="25"/>
  <c r="Q41" i="25"/>
  <c r="Q24" i="25"/>
  <c r="Q40" i="25"/>
  <c r="Q63" i="25"/>
  <c r="Q64" i="25"/>
  <c r="Q26" i="25"/>
  <c r="Q66" i="25"/>
  <c r="S10" i="25"/>
  <c r="T10" i="25" s="1"/>
  <c r="Q67" i="25"/>
  <c r="Q6" i="25"/>
  <c r="D10" i="25"/>
  <c r="Q21" i="25"/>
  <c r="E10" i="25"/>
  <c r="R26" i="21"/>
  <c r="O10" i="25"/>
  <c r="M10" i="25" s="1"/>
  <c r="P10" i="25"/>
  <c r="Q14" i="25"/>
  <c r="R11" i="25"/>
  <c r="S11" i="25"/>
  <c r="M26" i="25"/>
  <c r="M6" i="25"/>
  <c r="Q65" i="25"/>
  <c r="M40" i="25"/>
  <c r="Q27" i="25"/>
  <c r="Q44" i="25"/>
  <c r="AD49" i="22"/>
  <c r="Q17" i="25"/>
  <c r="Q50" i="25"/>
  <c r="Q48" i="25"/>
  <c r="F39" i="25"/>
  <c r="Q52" i="25"/>
  <c r="Q51" i="25"/>
  <c r="M27" i="25"/>
  <c r="Q68" i="25"/>
  <c r="Q5" i="25"/>
  <c r="Q57" i="25"/>
  <c r="Q18" i="25"/>
  <c r="Q20" i="25"/>
  <c r="M65" i="25"/>
  <c r="Q36" i="25"/>
  <c r="Q61" i="25"/>
  <c r="Q49" i="25"/>
  <c r="Q22" i="25"/>
  <c r="Q7" i="25"/>
  <c r="Q8" i="25"/>
  <c r="M7" i="25"/>
  <c r="Q13" i="25"/>
  <c r="M17" i="25"/>
  <c r="P54" i="25"/>
  <c r="Q62" i="25"/>
  <c r="E54" i="25"/>
  <c r="D54" i="25"/>
  <c r="R24" i="21"/>
  <c r="Q35" i="25"/>
  <c r="Q47" i="25"/>
  <c r="Q37" i="25"/>
  <c r="M57" i="25"/>
  <c r="M18" i="25"/>
  <c r="M22" i="25"/>
  <c r="Q9" i="25"/>
  <c r="B32" i="5"/>
  <c r="B33" i="5" s="1"/>
  <c r="Q69" i="25"/>
  <c r="Q23" i="25"/>
  <c r="S54" i="25"/>
  <c r="T54" i="25" s="1"/>
  <c r="Q25" i="25"/>
  <c r="Q34" i="25"/>
  <c r="M9" i="25"/>
  <c r="M61" i="25"/>
  <c r="M19" i="25"/>
  <c r="M47" i="25"/>
  <c r="M28" i="25"/>
  <c r="M37" i="25"/>
  <c r="Q16" i="25"/>
  <c r="M49" i="25"/>
  <c r="M68" i="25"/>
  <c r="Q3" i="25"/>
  <c r="M38" i="25"/>
  <c r="M62" i="25"/>
  <c r="M29" i="25"/>
  <c r="R25" i="21"/>
  <c r="M66" i="25"/>
  <c r="M50" i="25"/>
  <c r="M44" i="25"/>
  <c r="M51" i="25"/>
  <c r="E3" i="25"/>
  <c r="F3" i="25"/>
  <c r="D3" i="25"/>
  <c r="O10" i="5"/>
  <c r="O55" i="25" s="1"/>
  <c r="M55" i="25" s="1"/>
  <c r="P30" i="25"/>
  <c r="E4" i="25"/>
  <c r="D4" i="25"/>
  <c r="O17" i="5"/>
  <c r="P4" i="25"/>
  <c r="O16" i="5"/>
  <c r="O53" i="25" s="1"/>
  <c r="M53" i="25" s="1"/>
  <c r="P12" i="25"/>
  <c r="F12" i="25"/>
  <c r="E12" i="25"/>
  <c r="D12" i="25"/>
  <c r="F55" i="25"/>
  <c r="R23" i="21"/>
  <c r="D30" i="25"/>
  <c r="E33" i="25"/>
  <c r="F43" i="25"/>
  <c r="D45" i="25"/>
  <c r="F30" i="25"/>
  <c r="D11" i="25"/>
  <c r="E43" i="25"/>
  <c r="E45" i="25"/>
  <c r="E11" i="25"/>
  <c r="F11" i="25"/>
  <c r="E55" i="25"/>
  <c r="E30" i="25"/>
  <c r="G42" i="25"/>
  <c r="G63" i="25"/>
  <c r="G22" i="25"/>
  <c r="G21" i="25"/>
  <c r="G36" i="25"/>
  <c r="G39" i="25"/>
  <c r="G6" i="25"/>
  <c r="G44" i="25"/>
  <c r="G51" i="25"/>
  <c r="G49" i="25"/>
  <c r="G10" i="25"/>
  <c r="G28" i="25"/>
  <c r="G57" i="25"/>
  <c r="G33" i="25"/>
  <c r="G3" i="25"/>
  <c r="G54" i="25"/>
  <c r="G69" i="25"/>
  <c r="G18" i="25"/>
  <c r="G45" i="25"/>
  <c r="G47" i="25"/>
  <c r="G52" i="25"/>
  <c r="G9" i="25"/>
  <c r="G55" i="25"/>
  <c r="G43" i="25"/>
  <c r="G37" i="25"/>
  <c r="G20" i="25"/>
  <c r="G19" i="25"/>
  <c r="G16" i="25"/>
  <c r="G12" i="25"/>
  <c r="G40" i="25"/>
  <c r="G50" i="25"/>
  <c r="G67" i="25"/>
  <c r="G66" i="25"/>
  <c r="G17" i="25"/>
  <c r="G41" i="25"/>
  <c r="G46" i="25"/>
  <c r="G8" i="25"/>
  <c r="G58" i="25"/>
  <c r="G5" i="25"/>
  <c r="G53" i="25"/>
  <c r="G34" i="25"/>
  <c r="G64" i="25"/>
  <c r="G15" i="25"/>
  <c r="G60" i="25"/>
  <c r="G27" i="25"/>
  <c r="G24" i="25"/>
  <c r="G31" i="25"/>
  <c r="G29" i="25"/>
  <c r="G62" i="25"/>
  <c r="G65" i="25"/>
  <c r="G13" i="25"/>
  <c r="G68" i="25"/>
  <c r="G14" i="25"/>
  <c r="G26" i="25"/>
  <c r="G32" i="25"/>
  <c r="G4" i="25"/>
  <c r="G25" i="25"/>
  <c r="G48" i="25"/>
  <c r="G38" i="25"/>
  <c r="G35" i="25"/>
  <c r="G11" i="25"/>
  <c r="G56" i="25"/>
  <c r="G23" i="25"/>
  <c r="G7" i="25"/>
  <c r="G61" i="25"/>
  <c r="G30" i="25"/>
  <c r="G59" i="25"/>
  <c r="AD50" i="22"/>
  <c r="AD52" i="22"/>
  <c r="AD51" i="22"/>
  <c r="AH21" i="22"/>
  <c r="I4" i="21"/>
  <c r="H18" i="21"/>
  <c r="Q56" i="25" l="1"/>
  <c r="O11" i="25"/>
  <c r="M11" i="25" s="1"/>
  <c r="T39" i="25"/>
  <c r="Q55" i="25"/>
  <c r="H25" i="6"/>
  <c r="J20" i="6"/>
  <c r="L22" i="6"/>
  <c r="J23" i="6"/>
  <c r="L20" i="6"/>
  <c r="L23" i="6"/>
  <c r="I25" i="6"/>
  <c r="J22" i="6"/>
  <c r="T32" i="25"/>
  <c r="Q53" i="25"/>
  <c r="G25" i="6"/>
  <c r="O30" i="25"/>
  <c r="Q30" i="25" s="1"/>
  <c r="O45" i="25"/>
  <c r="E135" i="14"/>
  <c r="AF20" i="22"/>
  <c r="F25" i="6"/>
  <c r="L14" i="6"/>
  <c r="L19" i="6"/>
  <c r="K7" i="6"/>
  <c r="K8" i="6"/>
  <c r="K9" i="6"/>
  <c r="K12" i="6"/>
  <c r="K11" i="6"/>
  <c r="K10" i="6"/>
  <c r="J14" i="6"/>
  <c r="J19" i="6"/>
  <c r="T59" i="25"/>
  <c r="AE20" i="22"/>
  <c r="AE36" i="22" s="1"/>
  <c r="AG22" i="22"/>
  <c r="AH22" i="22" s="1"/>
  <c r="AI22" i="22" s="1"/>
  <c r="G38" i="19" s="1"/>
  <c r="E25" i="6"/>
  <c r="D9" i="6"/>
  <c r="D11" i="6"/>
  <c r="D10" i="6"/>
  <c r="D8" i="6"/>
  <c r="D12" i="6"/>
  <c r="D7" i="6"/>
  <c r="X17" i="6"/>
  <c r="X7" i="6"/>
  <c r="U17" i="6"/>
  <c r="U7" i="6"/>
  <c r="S17" i="6"/>
  <c r="S7" i="6"/>
  <c r="Y17" i="6"/>
  <c r="Y7" i="6"/>
  <c r="W7" i="6"/>
  <c r="W17" i="6"/>
  <c r="V7" i="6"/>
  <c r="V17" i="6"/>
  <c r="E134" i="14"/>
  <c r="T7" i="6"/>
  <c r="T17" i="6"/>
  <c r="R7" i="6"/>
  <c r="R17" i="6"/>
  <c r="Q17" i="6"/>
  <c r="Q7" i="6"/>
  <c r="Q42" i="25"/>
  <c r="T11" i="25"/>
  <c r="O59" i="25"/>
  <c r="Q32" i="25"/>
  <c r="Q33" i="25"/>
  <c r="Q54" i="25"/>
  <c r="C20" i="21"/>
  <c r="Q10" i="25"/>
  <c r="D20" i="21"/>
  <c r="W23" i="15" s="1"/>
  <c r="K8" i="20"/>
  <c r="M8" i="20" s="1"/>
  <c r="C55" i="6" s="1"/>
  <c r="O8" i="20"/>
  <c r="C8" i="20"/>
  <c r="G8" i="20"/>
  <c r="O39" i="25"/>
  <c r="C28" i="21"/>
  <c r="K135" i="14"/>
  <c r="I135" i="14"/>
  <c r="F135" i="14"/>
  <c r="G135" i="14"/>
  <c r="J135" i="14"/>
  <c r="C135" i="14"/>
  <c r="D30" i="21"/>
  <c r="W33" i="15" s="1"/>
  <c r="D28" i="21"/>
  <c r="W31" i="15" s="1"/>
  <c r="C32" i="21"/>
  <c r="C21" i="21"/>
  <c r="D29" i="21"/>
  <c r="W32" i="15" s="1"/>
  <c r="M3" i="25"/>
  <c r="D36" i="21"/>
  <c r="W39" i="15" s="1"/>
  <c r="D34" i="21"/>
  <c r="W37" i="15" s="1"/>
  <c r="B34" i="5"/>
  <c r="C25" i="21"/>
  <c r="D38" i="21"/>
  <c r="W41" i="15" s="1"/>
  <c r="O4" i="25"/>
  <c r="M4" i="25" s="1"/>
  <c r="C27" i="21"/>
  <c r="D26" i="21"/>
  <c r="W29" i="15" s="1"/>
  <c r="D40" i="21"/>
  <c r="C45" i="21"/>
  <c r="H52" i="26" s="1"/>
  <c r="C22" i="21"/>
  <c r="C35" i="21"/>
  <c r="O31" i="5"/>
  <c r="O8" i="5"/>
  <c r="O12" i="25"/>
  <c r="C44" i="21"/>
  <c r="C46" i="21"/>
  <c r="H53" i="26" s="1"/>
  <c r="D41" i="21"/>
  <c r="D23" i="21"/>
  <c r="W26" i="15" s="1"/>
  <c r="C37" i="21"/>
  <c r="D24" i="21"/>
  <c r="W27" i="15" s="1"/>
  <c r="C39" i="21"/>
  <c r="D45" i="21"/>
  <c r="C42" i="21"/>
  <c r="V50" i="15" s="1"/>
  <c r="Y50" i="15" s="1"/>
  <c r="C23" i="21"/>
  <c r="C47" i="21"/>
  <c r="H54" i="26" s="1"/>
  <c r="N54" i="26" s="1"/>
  <c r="O54" i="26" s="1"/>
  <c r="C36" i="21"/>
  <c r="D31" i="21"/>
  <c r="W34" i="15" s="1"/>
  <c r="D33" i="21"/>
  <c r="W36" i="15" s="1"/>
  <c r="D46" i="21"/>
  <c r="D32" i="21"/>
  <c r="W35" i="15" s="1"/>
  <c r="C48" i="21"/>
  <c r="C49" i="21"/>
  <c r="D49" i="21"/>
  <c r="D39" i="21"/>
  <c r="W42" i="15" s="1"/>
  <c r="C30" i="21"/>
  <c r="D48" i="21"/>
  <c r="C41" i="21"/>
  <c r="V44" i="15" s="1"/>
  <c r="Y44" i="15" s="1"/>
  <c r="D43" i="21"/>
  <c r="C34" i="21"/>
  <c r="D22" i="21"/>
  <c r="W25" i="15" s="1"/>
  <c r="D27" i="21"/>
  <c r="W30" i="15" s="1"/>
  <c r="D47" i="21"/>
  <c r="C40" i="21"/>
  <c r="V43" i="15" s="1"/>
  <c r="Y43" i="15" s="1"/>
  <c r="C43" i="21"/>
  <c r="C33" i="21"/>
  <c r="C24" i="21"/>
  <c r="C26" i="21"/>
  <c r="C38" i="21"/>
  <c r="C31" i="21"/>
  <c r="D37" i="21"/>
  <c r="W40" i="15" s="1"/>
  <c r="C29" i="21"/>
  <c r="D35" i="21"/>
  <c r="W38" i="15" s="1"/>
  <c r="D44" i="21"/>
  <c r="W47" i="15" s="1"/>
  <c r="D21" i="21"/>
  <c r="W24" i="15" s="1"/>
  <c r="D42" i="21"/>
  <c r="D25" i="21"/>
  <c r="W28" i="15" s="1"/>
  <c r="J4" i="21"/>
  <c r="I2" i="25" s="1"/>
  <c r="H2" i="25"/>
  <c r="AI21" i="22"/>
  <c r="I18" i="21"/>
  <c r="Q11" i="25" l="1"/>
  <c r="J25" i="6"/>
  <c r="L135" i="14"/>
  <c r="AD44" i="15"/>
  <c r="AD43" i="15"/>
  <c r="AD50" i="15"/>
  <c r="K22" i="6"/>
  <c r="L25" i="6"/>
  <c r="K20" i="6"/>
  <c r="K23" i="6"/>
  <c r="K21" i="6"/>
  <c r="AF36" i="22"/>
  <c r="AE44" i="22"/>
  <c r="AF44" i="22" s="1"/>
  <c r="AE42" i="22"/>
  <c r="AF42" i="22" s="1"/>
  <c r="AE43" i="22"/>
  <c r="AF43" i="22" s="1"/>
  <c r="M30" i="25"/>
  <c r="AE41" i="22"/>
  <c r="AF41" i="22" s="1"/>
  <c r="AE40" i="22"/>
  <c r="AF40" i="22" s="1"/>
  <c r="AE45" i="22"/>
  <c r="AF45" i="22" s="1"/>
  <c r="M45" i="25"/>
  <c r="Q45" i="25"/>
  <c r="W46" i="15"/>
  <c r="W45" i="15"/>
  <c r="W50" i="15"/>
  <c r="X50" i="15"/>
  <c r="AB50" i="15"/>
  <c r="AC50" i="15"/>
  <c r="AA50" i="15"/>
  <c r="Z50" i="15"/>
  <c r="AE38" i="22"/>
  <c r="AF38" i="22" s="1"/>
  <c r="H50" i="26"/>
  <c r="N50" i="26" s="1"/>
  <c r="O50" i="26" s="1"/>
  <c r="V46" i="15"/>
  <c r="Y46" i="15" s="1"/>
  <c r="X43" i="15"/>
  <c r="Z43" i="15"/>
  <c r="AA43" i="15"/>
  <c r="AB43" i="15"/>
  <c r="AC43" i="15"/>
  <c r="W49" i="15"/>
  <c r="W44" i="15"/>
  <c r="H51" i="26"/>
  <c r="N51" i="26" s="1"/>
  <c r="O51" i="26" s="1"/>
  <c r="V47" i="15"/>
  <c r="Y47" i="15" s="1"/>
  <c r="AB44" i="15"/>
  <c r="X44" i="15"/>
  <c r="Z44" i="15"/>
  <c r="AA44" i="15"/>
  <c r="AC44" i="15"/>
  <c r="H49" i="26"/>
  <c r="N49" i="26" s="1"/>
  <c r="O49" i="26" s="1"/>
  <c r="V45" i="15"/>
  <c r="Y45" i="15" s="1"/>
  <c r="W48" i="15"/>
  <c r="W43" i="15"/>
  <c r="AG20" i="22"/>
  <c r="AE39" i="22"/>
  <c r="AF39" i="22" s="1"/>
  <c r="AE37" i="22"/>
  <c r="AE48" i="22" s="1"/>
  <c r="K14" i="6"/>
  <c r="K19" i="6"/>
  <c r="D20" i="6"/>
  <c r="D22" i="6"/>
  <c r="AI20" i="22"/>
  <c r="AH20" i="22"/>
  <c r="D21" i="6"/>
  <c r="U8" i="6"/>
  <c r="T8" i="6"/>
  <c r="V8" i="6"/>
  <c r="I52" i="26"/>
  <c r="N52" i="26"/>
  <c r="O52" i="26" s="1"/>
  <c r="R8" i="6"/>
  <c r="W8" i="6"/>
  <c r="D19" i="6"/>
  <c r="D14" i="6"/>
  <c r="D23" i="6"/>
  <c r="I53" i="26"/>
  <c r="N53" i="26"/>
  <c r="O53" i="26" s="1"/>
  <c r="Z7" i="6"/>
  <c r="U18" i="6" s="1"/>
  <c r="Y8" i="6"/>
  <c r="S8" i="6"/>
  <c r="K9" i="14"/>
  <c r="S8" i="20"/>
  <c r="W8" i="20"/>
  <c r="O133" i="14" s="1"/>
  <c r="E3" i="14"/>
  <c r="J10" i="24"/>
  <c r="V10" i="24" s="1"/>
  <c r="B7" i="6" a="1"/>
  <c r="H45" i="26"/>
  <c r="F45" i="26" s="1"/>
  <c r="V41" i="15"/>
  <c r="Y41" i="15" s="1"/>
  <c r="H46" i="26"/>
  <c r="N46" i="26" s="1"/>
  <c r="O46" i="26" s="1"/>
  <c r="V42" i="15"/>
  <c r="Y42" i="15" s="1"/>
  <c r="H36" i="26"/>
  <c r="V32" i="15"/>
  <c r="H38" i="26"/>
  <c r="V34" i="15"/>
  <c r="H33" i="26"/>
  <c r="V29" i="15"/>
  <c r="H44" i="26"/>
  <c r="V40" i="15"/>
  <c r="H31" i="26"/>
  <c r="V27" i="15"/>
  <c r="H40" i="26"/>
  <c r="V36" i="15"/>
  <c r="H39" i="26"/>
  <c r="E39" i="26" s="1"/>
  <c r="V35" i="15"/>
  <c r="H48" i="26"/>
  <c r="E48" i="26" s="1"/>
  <c r="V49" i="15"/>
  <c r="Y49" i="15" s="1"/>
  <c r="H28" i="26"/>
  <c r="F28" i="26" s="1"/>
  <c r="V24" i="15"/>
  <c r="H34" i="26"/>
  <c r="V30" i="15"/>
  <c r="H32" i="26"/>
  <c r="V28" i="15"/>
  <c r="H47" i="26"/>
  <c r="V48" i="15"/>
  <c r="Y48" i="15" s="1"/>
  <c r="H42" i="26"/>
  <c r="V38" i="15"/>
  <c r="H35" i="26"/>
  <c r="V31" i="15"/>
  <c r="H30" i="26"/>
  <c r="V26" i="15"/>
  <c r="H41" i="26"/>
  <c r="G41" i="26" s="1"/>
  <c r="V37" i="15"/>
  <c r="H37" i="26"/>
  <c r="V33" i="15"/>
  <c r="H27" i="26"/>
  <c r="E27" i="26" s="1"/>
  <c r="V23" i="15"/>
  <c r="H43" i="26"/>
  <c r="V39" i="15"/>
  <c r="H29" i="26"/>
  <c r="V25" i="15"/>
  <c r="M59" i="25"/>
  <c r="Q59" i="25"/>
  <c r="E54" i="26"/>
  <c r="I54" i="26"/>
  <c r="Q39" i="25"/>
  <c r="M39" i="25"/>
  <c r="D135" i="14"/>
  <c r="H135" i="14"/>
  <c r="T135" i="14" s="1"/>
  <c r="Q4" i="25"/>
  <c r="E53" i="26"/>
  <c r="G52" i="26"/>
  <c r="F52" i="26"/>
  <c r="F53" i="26"/>
  <c r="E52" i="26"/>
  <c r="G53" i="26"/>
  <c r="B35" i="5"/>
  <c r="Q12" i="25"/>
  <c r="M12" i="25"/>
  <c r="F54" i="26"/>
  <c r="G54" i="26"/>
  <c r="B74" i="6" a="1"/>
  <c r="B79" i="6" s="1"/>
  <c r="H42" i="25"/>
  <c r="H63" i="25"/>
  <c r="H22" i="25"/>
  <c r="H65" i="25"/>
  <c r="H56" i="25"/>
  <c r="H30" i="25"/>
  <c r="H3" i="25"/>
  <c r="H32" i="25"/>
  <c r="H62" i="25"/>
  <c r="H9" i="25"/>
  <c r="H52" i="25"/>
  <c r="H29" i="25"/>
  <c r="H31" i="25"/>
  <c r="H12" i="25"/>
  <c r="H21" i="25"/>
  <c r="H49" i="25"/>
  <c r="H16" i="25"/>
  <c r="H68" i="25"/>
  <c r="H18" i="25"/>
  <c r="H51" i="25"/>
  <c r="H45" i="25"/>
  <c r="H57" i="25"/>
  <c r="H7" i="25"/>
  <c r="H58" i="25"/>
  <c r="H48" i="25"/>
  <c r="H67" i="25"/>
  <c r="H33" i="25"/>
  <c r="H38" i="25"/>
  <c r="H40" i="25"/>
  <c r="H13" i="25"/>
  <c r="H53" i="25"/>
  <c r="H69" i="25"/>
  <c r="H37" i="25"/>
  <c r="H47" i="25"/>
  <c r="H23" i="25"/>
  <c r="H10" i="25"/>
  <c r="H17" i="25"/>
  <c r="H5" i="25"/>
  <c r="H36" i="25"/>
  <c r="H64" i="25"/>
  <c r="H55" i="25"/>
  <c r="H39" i="25"/>
  <c r="H19" i="25"/>
  <c r="H61" i="25"/>
  <c r="H24" i="25"/>
  <c r="H60" i="25"/>
  <c r="H15" i="25"/>
  <c r="H50" i="25"/>
  <c r="H26" i="25"/>
  <c r="H11" i="25"/>
  <c r="H25" i="25"/>
  <c r="H8" i="25"/>
  <c r="H41" i="25"/>
  <c r="H27" i="25"/>
  <c r="H44" i="25"/>
  <c r="H6" i="25"/>
  <c r="H66" i="25"/>
  <c r="H46" i="25"/>
  <c r="H43" i="25"/>
  <c r="H54" i="25"/>
  <c r="H4" i="25"/>
  <c r="H34" i="25"/>
  <c r="H59" i="25"/>
  <c r="H28" i="25"/>
  <c r="H35" i="25"/>
  <c r="H14" i="25"/>
  <c r="H20" i="25"/>
  <c r="I8" i="25"/>
  <c r="I6" i="25"/>
  <c r="I67" i="25"/>
  <c r="I64" i="25"/>
  <c r="I57" i="25"/>
  <c r="I52" i="25"/>
  <c r="I45" i="25"/>
  <c r="I66" i="25"/>
  <c r="I39" i="25"/>
  <c r="I3" i="25"/>
  <c r="I18" i="25"/>
  <c r="I33" i="25"/>
  <c r="I42" i="25"/>
  <c r="I31" i="25"/>
  <c r="I27" i="25"/>
  <c r="I56" i="25"/>
  <c r="I68" i="25"/>
  <c r="I58" i="25"/>
  <c r="I41" i="25"/>
  <c r="I5" i="25"/>
  <c r="I63" i="25"/>
  <c r="I25" i="25"/>
  <c r="I53" i="25"/>
  <c r="I61" i="25"/>
  <c r="I35" i="25"/>
  <c r="I44" i="25"/>
  <c r="I10" i="25"/>
  <c r="I28" i="25"/>
  <c r="I21" i="25"/>
  <c r="I54" i="25"/>
  <c r="I13" i="25"/>
  <c r="I22" i="25"/>
  <c r="I34" i="25"/>
  <c r="I69" i="25"/>
  <c r="I62" i="25"/>
  <c r="I65" i="25"/>
  <c r="I55" i="25"/>
  <c r="I37" i="25"/>
  <c r="I50" i="25"/>
  <c r="I20" i="25"/>
  <c r="I32" i="25"/>
  <c r="I12" i="25"/>
  <c r="I11" i="25"/>
  <c r="I59" i="25"/>
  <c r="B59" i="25" s="1"/>
  <c r="I36" i="25"/>
  <c r="I9" i="25"/>
  <c r="I60" i="25"/>
  <c r="I4" i="25"/>
  <c r="I29" i="25"/>
  <c r="I19" i="25"/>
  <c r="I24" i="25"/>
  <c r="I30" i="25"/>
  <c r="I49" i="25"/>
  <c r="I48" i="25"/>
  <c r="I51" i="25"/>
  <c r="I38" i="25"/>
  <c r="I17" i="25"/>
  <c r="I43" i="25"/>
  <c r="I46" i="25"/>
  <c r="I26" i="25"/>
  <c r="I15" i="25"/>
  <c r="I40" i="25"/>
  <c r="I47" i="25"/>
  <c r="I7" i="25"/>
  <c r="I23" i="25"/>
  <c r="I16" i="25"/>
  <c r="I14" i="25"/>
  <c r="J18" i="21"/>
  <c r="B53" i="6" a="1"/>
  <c r="B34" i="6" a="1"/>
  <c r="G37" i="19"/>
  <c r="AD41" i="15" l="1"/>
  <c r="AD45" i="15"/>
  <c r="AD46" i="15"/>
  <c r="AD48" i="15"/>
  <c r="AD49" i="15"/>
  <c r="AD42" i="15"/>
  <c r="AD47" i="15"/>
  <c r="AG45" i="22"/>
  <c r="AH45" i="22" s="1"/>
  <c r="AI45" i="22" s="1"/>
  <c r="AJ45" i="22" s="1"/>
  <c r="AG43" i="22"/>
  <c r="AH43" i="22" s="1"/>
  <c r="AI43" i="22" s="1"/>
  <c r="AJ43" i="22" s="1"/>
  <c r="AG41" i="22"/>
  <c r="AH41" i="22" s="1"/>
  <c r="AG44" i="22"/>
  <c r="AH44" i="22" s="1"/>
  <c r="AI44" i="22" s="1"/>
  <c r="K25" i="6"/>
  <c r="AG40" i="22"/>
  <c r="AH40" i="22" s="1"/>
  <c r="AI40" i="22" s="1"/>
  <c r="AJ40" i="22" s="1"/>
  <c r="AG42" i="22"/>
  <c r="AH42" i="22" s="1"/>
  <c r="AI42" i="22" s="1"/>
  <c r="I50" i="26"/>
  <c r="G49" i="26"/>
  <c r="E49" i="26"/>
  <c r="AG39" i="22"/>
  <c r="AH39" i="22" s="1"/>
  <c r="AI39" i="22" s="1"/>
  <c r="F49" i="26"/>
  <c r="X24" i="15"/>
  <c r="AE49" i="22"/>
  <c r="AF52" i="22"/>
  <c r="AE52" i="22"/>
  <c r="I49" i="26"/>
  <c r="M135" i="14"/>
  <c r="E50" i="26"/>
  <c r="S18" i="6"/>
  <c r="E38" i="19"/>
  <c r="AG38" i="22"/>
  <c r="AH38" i="22" s="1"/>
  <c r="F50" i="26"/>
  <c r="G50" i="26"/>
  <c r="Z23" i="15"/>
  <c r="AG36" i="22"/>
  <c r="AH36" i="22" s="1"/>
  <c r="AE50" i="22"/>
  <c r="AE51" i="22"/>
  <c r="AF37" i="22"/>
  <c r="AF49" i="22" s="1"/>
  <c r="G51" i="26"/>
  <c r="X45" i="15"/>
  <c r="AA45" i="15"/>
  <c r="AB45" i="15"/>
  <c r="AC45" i="15"/>
  <c r="Z45" i="15"/>
  <c r="F51" i="26"/>
  <c r="X46" i="15"/>
  <c r="Z46" i="15"/>
  <c r="AB46" i="15"/>
  <c r="AA46" i="15"/>
  <c r="AC46" i="15"/>
  <c r="X47" i="15"/>
  <c r="AA47" i="15"/>
  <c r="AB47" i="15"/>
  <c r="AC47" i="15"/>
  <c r="Z47" i="15"/>
  <c r="E37" i="19"/>
  <c r="I51" i="26"/>
  <c r="X8" i="6"/>
  <c r="X9" i="6" s="1"/>
  <c r="E40" i="19"/>
  <c r="E41" i="19"/>
  <c r="E51" i="26"/>
  <c r="E28" i="26"/>
  <c r="E39" i="19"/>
  <c r="F37" i="26"/>
  <c r="G37" i="26"/>
  <c r="Y18" i="6"/>
  <c r="Q18" i="6"/>
  <c r="E45" i="26"/>
  <c r="G39" i="26"/>
  <c r="G45" i="26"/>
  <c r="F39" i="26"/>
  <c r="E30" i="26"/>
  <c r="F30" i="26"/>
  <c r="G30" i="26"/>
  <c r="V18" i="6"/>
  <c r="X18" i="6"/>
  <c r="D25" i="6"/>
  <c r="G48" i="26"/>
  <c r="G46" i="26"/>
  <c r="F27" i="26"/>
  <c r="E46" i="26"/>
  <c r="G29" i="26"/>
  <c r="F41" i="26"/>
  <c r="G47" i="26"/>
  <c r="N47" i="26"/>
  <c r="O47" i="26" s="1"/>
  <c r="I48" i="26"/>
  <c r="N48" i="26"/>
  <c r="O48" i="26" s="1"/>
  <c r="G44" i="26"/>
  <c r="S9" i="6"/>
  <c r="R9" i="6"/>
  <c r="T9" i="6"/>
  <c r="Y9" i="6"/>
  <c r="F48" i="26"/>
  <c r="E41" i="26"/>
  <c r="G34" i="26"/>
  <c r="I46" i="26"/>
  <c r="E37" i="26"/>
  <c r="F32" i="26"/>
  <c r="G28" i="26"/>
  <c r="E31" i="26"/>
  <c r="E33" i="26"/>
  <c r="I45" i="26"/>
  <c r="N45" i="26"/>
  <c r="O45" i="26" s="1"/>
  <c r="Q8" i="6"/>
  <c r="W9" i="6"/>
  <c r="V9" i="6"/>
  <c r="F46" i="26"/>
  <c r="Z24" i="15"/>
  <c r="T18" i="6"/>
  <c r="F74" i="6"/>
  <c r="H74" i="6" s="1"/>
  <c r="P18" i="6"/>
  <c r="W18" i="6"/>
  <c r="R18" i="6"/>
  <c r="U9" i="6"/>
  <c r="B12" i="6"/>
  <c r="B23" i="6" s="1"/>
  <c r="O12" i="6" s="1"/>
  <c r="O23" i="6" s="1"/>
  <c r="B8" i="6"/>
  <c r="B19" i="6" s="1"/>
  <c r="O8" i="6" s="1"/>
  <c r="O19" i="6" s="1"/>
  <c r="B11" i="6"/>
  <c r="B22" i="6" s="1"/>
  <c r="O11" i="6" s="1"/>
  <c r="O22" i="6" s="1"/>
  <c r="B7" i="6"/>
  <c r="B18" i="6" s="1"/>
  <c r="O7" i="6" s="1"/>
  <c r="O18" i="6" s="1"/>
  <c r="B9" i="6"/>
  <c r="B20" i="6" s="1"/>
  <c r="O9" i="6" s="1"/>
  <c r="O20" i="6" s="1"/>
  <c r="B10" i="6"/>
  <c r="B21" i="6" s="1"/>
  <c r="O10" i="6" s="1"/>
  <c r="O21" i="6" s="1"/>
  <c r="F34" i="26"/>
  <c r="G36" i="26"/>
  <c r="F38" i="26"/>
  <c r="G38" i="26"/>
  <c r="F36" i="26"/>
  <c r="E34" i="26"/>
  <c r="G32" i="26"/>
  <c r="E36" i="26"/>
  <c r="E38" i="26"/>
  <c r="G27" i="26"/>
  <c r="G33" i="26"/>
  <c r="E42" i="26"/>
  <c r="F40" i="26"/>
  <c r="E35" i="26"/>
  <c r="G42" i="26"/>
  <c r="F43" i="26"/>
  <c r="E40" i="26"/>
  <c r="E29" i="26"/>
  <c r="F33" i="26"/>
  <c r="G43" i="26"/>
  <c r="E32" i="26"/>
  <c r="E44" i="26"/>
  <c r="X25" i="15"/>
  <c r="X48" i="15"/>
  <c r="Z48" i="15"/>
  <c r="AC48" i="15"/>
  <c r="AB48" i="15"/>
  <c r="AA48" i="15"/>
  <c r="X40" i="15"/>
  <c r="AA40" i="15"/>
  <c r="AB40" i="15"/>
  <c r="Z40" i="15"/>
  <c r="X36" i="15"/>
  <c r="AA36" i="15"/>
  <c r="AB36" i="15"/>
  <c r="Z36" i="15"/>
  <c r="E43" i="26"/>
  <c r="I47" i="26"/>
  <c r="F29" i="26"/>
  <c r="X23" i="15"/>
  <c r="X30" i="15"/>
  <c r="AA30" i="15"/>
  <c r="AB30" i="15"/>
  <c r="Z30" i="15"/>
  <c r="X34" i="15"/>
  <c r="AB34" i="15"/>
  <c r="AA34" i="15"/>
  <c r="Z34" i="15"/>
  <c r="F47" i="26"/>
  <c r="E47" i="26"/>
  <c r="X31" i="15"/>
  <c r="Z31" i="15"/>
  <c r="AB31" i="15"/>
  <c r="AA31" i="15"/>
  <c r="X38" i="15"/>
  <c r="AA38" i="15"/>
  <c r="AB38" i="15"/>
  <c r="Z38" i="15"/>
  <c r="G40" i="26"/>
  <c r="F31" i="26"/>
  <c r="X32" i="15"/>
  <c r="AA32" i="15"/>
  <c r="Z32" i="15"/>
  <c r="AB32" i="15"/>
  <c r="G31" i="26"/>
  <c r="F42" i="26"/>
  <c r="X28" i="15"/>
  <c r="AA28" i="15"/>
  <c r="Z28" i="15"/>
  <c r="AB28" i="15"/>
  <c r="X33" i="15"/>
  <c r="AA33" i="15"/>
  <c r="AB33" i="15"/>
  <c r="Z33" i="15"/>
  <c r="AB24" i="15"/>
  <c r="X37" i="15"/>
  <c r="Z37" i="15"/>
  <c r="AB37" i="15"/>
  <c r="AA37" i="15"/>
  <c r="X49" i="15"/>
  <c r="AC49" i="15"/>
  <c r="AA49" i="15"/>
  <c r="AB49" i="15"/>
  <c r="Z49" i="15"/>
  <c r="X42" i="15"/>
  <c r="AA42" i="15"/>
  <c r="AC42" i="15"/>
  <c r="AB42" i="15"/>
  <c r="Z42" i="15"/>
  <c r="AA24" i="15"/>
  <c r="F35" i="26"/>
  <c r="X27" i="15"/>
  <c r="Z27" i="15"/>
  <c r="AA27" i="15"/>
  <c r="AB27" i="15"/>
  <c r="G35" i="26"/>
  <c r="X39" i="15"/>
  <c r="Z39" i="15"/>
  <c r="AB39" i="15"/>
  <c r="AA39" i="15"/>
  <c r="AB23" i="15"/>
  <c r="X26" i="15"/>
  <c r="X35" i="15"/>
  <c r="Z35" i="15"/>
  <c r="AA35" i="15"/>
  <c r="AB35" i="15"/>
  <c r="X41" i="15"/>
  <c r="AB41" i="15"/>
  <c r="AC41" i="15"/>
  <c r="AA41" i="15"/>
  <c r="Z41" i="15"/>
  <c r="F44" i="26"/>
  <c r="X29" i="15"/>
  <c r="AA29" i="15"/>
  <c r="Z29" i="15"/>
  <c r="AB29" i="15"/>
  <c r="AA23" i="15"/>
  <c r="N135" i="14"/>
  <c r="P135" i="14" s="1"/>
  <c r="Q135" i="14" s="1"/>
  <c r="B75" i="6"/>
  <c r="B78" i="6"/>
  <c r="B74" i="6"/>
  <c r="B76" i="6"/>
  <c r="B77" i="6"/>
  <c r="B22" i="25"/>
  <c r="A22" i="25" s="1"/>
  <c r="AF50" i="22"/>
  <c r="AF48" i="22"/>
  <c r="B3" i="25"/>
  <c r="A3" i="25" s="1"/>
  <c r="B23" i="25"/>
  <c r="A23" i="25" s="1"/>
  <c r="B36" i="5"/>
  <c r="B43" i="25"/>
  <c r="B68" i="25"/>
  <c r="B10" i="25"/>
  <c r="B32" i="25"/>
  <c r="B38" i="25"/>
  <c r="A38" i="25" s="1"/>
  <c r="B45" i="25"/>
  <c r="B25" i="25"/>
  <c r="A25" i="25" s="1"/>
  <c r="B55" i="25"/>
  <c r="B31" i="25"/>
  <c r="B50" i="25"/>
  <c r="A50" i="25" s="1"/>
  <c r="B67" i="25"/>
  <c r="B9" i="25"/>
  <c r="A9" i="25" s="1"/>
  <c r="B69" i="25"/>
  <c r="B42" i="25"/>
  <c r="B46" i="25"/>
  <c r="B11" i="25"/>
  <c r="B34" i="25"/>
  <c r="B60" i="25"/>
  <c r="A60" i="25" s="1"/>
  <c r="B12" i="25"/>
  <c r="B28" i="25"/>
  <c r="B39" i="25"/>
  <c r="B19" i="25"/>
  <c r="A19" i="25" s="1"/>
  <c r="B52" i="25"/>
  <c r="A52" i="25" s="1"/>
  <c r="B41" i="25"/>
  <c r="A41" i="25" s="1"/>
  <c r="B27" i="25"/>
  <c r="A27" i="25" s="1"/>
  <c r="B56" i="25"/>
  <c r="A56" i="25" s="1"/>
  <c r="B57" i="25"/>
  <c r="B58" i="25"/>
  <c r="B30" i="25"/>
  <c r="B7" i="25"/>
  <c r="B62" i="25"/>
  <c r="A62" i="25" s="1"/>
  <c r="B33" i="25"/>
  <c r="B15" i="25"/>
  <c r="A15" i="25" s="1"/>
  <c r="B66" i="25"/>
  <c r="B48" i="25"/>
  <c r="A48" i="25" s="1"/>
  <c r="B6" i="25"/>
  <c r="A6" i="25" s="1"/>
  <c r="B64" i="25"/>
  <c r="A64" i="25" s="1"/>
  <c r="B53" i="25"/>
  <c r="B29" i="25"/>
  <c r="A29" i="25" s="1"/>
  <c r="B8" i="25"/>
  <c r="A8" i="25" s="1"/>
  <c r="B51" i="25"/>
  <c r="B65" i="25"/>
  <c r="B4" i="25"/>
  <c r="B20" i="25"/>
  <c r="A20" i="25" s="1"/>
  <c r="B18" i="25"/>
  <c r="A18" i="25" s="1"/>
  <c r="B5" i="25"/>
  <c r="A5" i="25" s="1"/>
  <c r="B13" i="25"/>
  <c r="A13" i="25" s="1"/>
  <c r="B14" i="25"/>
  <c r="A14" i="25" s="1"/>
  <c r="B47" i="25"/>
  <c r="A47" i="25" s="1"/>
  <c r="B63" i="25"/>
  <c r="B44" i="25"/>
  <c r="B24" i="25"/>
  <c r="A24" i="25" s="1"/>
  <c r="B40" i="25"/>
  <c r="A40" i="25" s="1"/>
  <c r="B54" i="25"/>
  <c r="B35" i="25"/>
  <c r="A35" i="25" s="1"/>
  <c r="B26" i="25"/>
  <c r="A26" i="25" s="1"/>
  <c r="B37" i="25"/>
  <c r="A37" i="25" s="1"/>
  <c r="B16" i="25"/>
  <c r="A16" i="25" s="1"/>
  <c r="B61" i="25"/>
  <c r="A61" i="25" s="1"/>
  <c r="B17" i="25"/>
  <c r="A17" i="25" s="1"/>
  <c r="B36" i="25"/>
  <c r="A36" i="25" s="1"/>
  <c r="B21" i="25"/>
  <c r="A21" i="25" s="1"/>
  <c r="B49" i="25"/>
  <c r="A49" i="25" s="1"/>
  <c r="B34" i="6"/>
  <c r="B37" i="6"/>
  <c r="B36" i="6"/>
  <c r="B35" i="6"/>
  <c r="B39" i="6"/>
  <c r="B38" i="6"/>
  <c r="B58" i="6"/>
  <c r="B67" i="6" s="1"/>
  <c r="B55" i="6"/>
  <c r="B64" i="6" s="1"/>
  <c r="B53" i="6"/>
  <c r="B62" i="6" s="1"/>
  <c r="B57" i="6"/>
  <c r="B66" i="6" s="1"/>
  <c r="B54" i="6"/>
  <c r="B63" i="6" s="1"/>
  <c r="B56" i="6"/>
  <c r="B65" i="6" s="1"/>
  <c r="AG52" i="22"/>
  <c r="A7" i="25" l="1"/>
  <c r="AF51" i="22"/>
  <c r="A63" i="25"/>
  <c r="A31" i="25"/>
  <c r="A66" i="25"/>
  <c r="A51" i="25"/>
  <c r="A57" i="25"/>
  <c r="AJ42" i="22"/>
  <c r="AJ44" i="22"/>
  <c r="A12" i="25"/>
  <c r="A46" i="25"/>
  <c r="A67" i="25"/>
  <c r="A68" i="25"/>
  <c r="A69" i="25"/>
  <c r="A44" i="25"/>
  <c r="A65" i="25"/>
  <c r="A28" i="25"/>
  <c r="A53" i="25"/>
  <c r="AG37" i="22"/>
  <c r="AG49" i="22" s="1"/>
  <c r="AG50" i="22"/>
  <c r="AG48" i="22"/>
  <c r="E42" i="19"/>
  <c r="AJ39" i="22"/>
  <c r="A58" i="25"/>
  <c r="AG51" i="22"/>
  <c r="U10" i="6"/>
  <c r="Q9" i="6"/>
  <c r="Z8" i="6"/>
  <c r="Z18" i="6"/>
  <c r="V10" i="6"/>
  <c r="Y10" i="6"/>
  <c r="T10" i="6"/>
  <c r="R10" i="6"/>
  <c r="S10" i="6"/>
  <c r="X10" i="6"/>
  <c r="W10" i="6"/>
  <c r="W11" i="6" s="1"/>
  <c r="B43" i="6"/>
  <c r="B45" i="6"/>
  <c r="B47" i="6"/>
  <c r="B44" i="6"/>
  <c r="B46" i="6"/>
  <c r="A59" i="25"/>
  <c r="A4" i="25"/>
  <c r="AH48" i="22"/>
  <c r="A42" i="25"/>
  <c r="A32" i="25"/>
  <c r="A39" i="25"/>
  <c r="A34" i="25"/>
  <c r="AI36" i="22"/>
  <c r="AI48" i="22" s="1"/>
  <c r="B37" i="5"/>
  <c r="A10" i="25"/>
  <c r="A43" i="25"/>
  <c r="A11" i="25"/>
  <c r="A54" i="25"/>
  <c r="A45" i="25"/>
  <c r="A55" i="25"/>
  <c r="A33" i="25"/>
  <c r="A30" i="25"/>
  <c r="AI38" i="22"/>
  <c r="AI50" i="22" s="1"/>
  <c r="AI41" i="22"/>
  <c r="AI52" i="22" s="1"/>
  <c r="AH52" i="22"/>
  <c r="AH37" i="22" l="1"/>
  <c r="AI37" i="22" s="1"/>
  <c r="AI51" i="22" s="1"/>
  <c r="AH50" i="22"/>
  <c r="T11" i="6"/>
  <c r="U11" i="6"/>
  <c r="X11" i="6"/>
  <c r="R11" i="6"/>
  <c r="V11" i="6"/>
  <c r="Q19" i="6"/>
  <c r="F75" i="6"/>
  <c r="P19" i="6"/>
  <c r="U19" i="6"/>
  <c r="W19" i="6"/>
  <c r="X19" i="6"/>
  <c r="S19" i="6"/>
  <c r="R19" i="6"/>
  <c r="T19" i="6"/>
  <c r="Y19" i="6"/>
  <c r="V19" i="6"/>
  <c r="W12" i="6"/>
  <c r="Y11" i="6"/>
  <c r="Q10" i="6"/>
  <c r="Z9" i="6"/>
  <c r="S11" i="6"/>
  <c r="AJ36" i="22"/>
  <c r="B38" i="5"/>
  <c r="C17" i="24"/>
  <c r="C11" i="24"/>
  <c r="C37" i="24"/>
  <c r="C25" i="24"/>
  <c r="C35" i="24"/>
  <c r="C29" i="24"/>
  <c r="C36" i="24"/>
  <c r="C31" i="24"/>
  <c r="C33" i="24"/>
  <c r="C16" i="24"/>
  <c r="C12" i="24"/>
  <c r="C32" i="24"/>
  <c r="C22" i="24"/>
  <c r="C20" i="24"/>
  <c r="C13" i="24"/>
  <c r="C27" i="24"/>
  <c r="C39" i="24"/>
  <c r="C26" i="24"/>
  <c r="C14" i="24"/>
  <c r="C24" i="24"/>
  <c r="C21" i="24"/>
  <c r="C38" i="24"/>
  <c r="C28" i="24"/>
  <c r="C40" i="24"/>
  <c r="C30" i="24"/>
  <c r="C23" i="24"/>
  <c r="C15" i="24"/>
  <c r="C18" i="24"/>
  <c r="C19" i="24"/>
  <c r="C34" i="24"/>
  <c r="AJ38" i="22"/>
  <c r="AJ50" i="22" s="1"/>
  <c r="AJ37" i="22"/>
  <c r="AJ41" i="22"/>
  <c r="AJ52" i="22" s="1"/>
  <c r="AI49" i="22" l="1"/>
  <c r="AH49" i="22"/>
  <c r="AH51" i="22"/>
  <c r="C177" i="14" a="1"/>
  <c r="C192" i="14" s="1"/>
  <c r="C200" i="14"/>
  <c r="C204" i="14"/>
  <c r="C196" i="14"/>
  <c r="C205" i="14"/>
  <c r="C190" i="14"/>
  <c r="N44" i="26"/>
  <c r="N43" i="26"/>
  <c r="Q11" i="6"/>
  <c r="Z10" i="6"/>
  <c r="Z19" i="6"/>
  <c r="V12" i="6"/>
  <c r="X12" i="6"/>
  <c r="U12" i="6"/>
  <c r="S12" i="6"/>
  <c r="W14" i="6"/>
  <c r="H75" i="6"/>
  <c r="G75" i="6"/>
  <c r="Q20" i="6"/>
  <c r="F76" i="6"/>
  <c r="P20" i="6"/>
  <c r="U20" i="6"/>
  <c r="T20" i="6"/>
  <c r="S20" i="6"/>
  <c r="Y20" i="6"/>
  <c r="W20" i="6"/>
  <c r="V20" i="6"/>
  <c r="R20" i="6"/>
  <c r="X20" i="6"/>
  <c r="T12" i="6"/>
  <c r="Y12" i="6"/>
  <c r="R12" i="6"/>
  <c r="D33" i="6" a="1"/>
  <c r="AJ48" i="22"/>
  <c r="AJ51" i="22"/>
  <c r="AJ49" i="22"/>
  <c r="G24" i="24"/>
  <c r="I24" i="24"/>
  <c r="C23" i="14"/>
  <c r="J23" i="14" s="1"/>
  <c r="B22" i="20"/>
  <c r="E11" i="24"/>
  <c r="C10" i="14"/>
  <c r="J10" i="14" s="1"/>
  <c r="I11" i="24"/>
  <c r="B9" i="20"/>
  <c r="D9" i="20" s="1"/>
  <c r="C31" i="14"/>
  <c r="J31" i="14" s="1"/>
  <c r="I32" i="24"/>
  <c r="B30" i="20"/>
  <c r="I35" i="24"/>
  <c r="C34" i="14"/>
  <c r="J34" i="14" s="1"/>
  <c r="B33" i="20"/>
  <c r="I14" i="24"/>
  <c r="C13" i="14"/>
  <c r="J13" i="14" s="1"/>
  <c r="B12" i="20"/>
  <c r="C12" i="14"/>
  <c r="J12" i="14" s="1"/>
  <c r="I13" i="24"/>
  <c r="B11" i="20"/>
  <c r="E19" i="24"/>
  <c r="C18" i="14"/>
  <c r="J18" i="14" s="1"/>
  <c r="I19" i="24"/>
  <c r="B17" i="20"/>
  <c r="C11" i="14"/>
  <c r="J11" i="14" s="1"/>
  <c r="I12" i="24"/>
  <c r="B10" i="20"/>
  <c r="C15" i="14"/>
  <c r="J15" i="14" s="1"/>
  <c r="I16" i="24"/>
  <c r="B14" i="20"/>
  <c r="C32" i="14"/>
  <c r="J32" i="14" s="1"/>
  <c r="I33" i="24"/>
  <c r="B31" i="20"/>
  <c r="C20" i="14"/>
  <c r="J20" i="14" s="1"/>
  <c r="I21" i="24"/>
  <c r="B19" i="20"/>
  <c r="I26" i="24"/>
  <c r="C25" i="14"/>
  <c r="J25" i="14" s="1"/>
  <c r="B24" i="20"/>
  <c r="C26" i="14"/>
  <c r="J26" i="14" s="1"/>
  <c r="I27" i="24"/>
  <c r="B25" i="20"/>
  <c r="I20" i="24"/>
  <c r="C19" i="14"/>
  <c r="J19" i="14" s="1"/>
  <c r="B18" i="20"/>
  <c r="E18" i="24"/>
  <c r="C17" i="14"/>
  <c r="J17" i="14" s="1"/>
  <c r="I18" i="24"/>
  <c r="B16" i="20"/>
  <c r="E23" i="24"/>
  <c r="I23" i="24"/>
  <c r="C22" i="14"/>
  <c r="J22" i="14" s="1"/>
  <c r="B21" i="20"/>
  <c r="E30" i="24"/>
  <c r="I30" i="24"/>
  <c r="C29" i="14"/>
  <c r="J29" i="14" s="1"/>
  <c r="B28" i="20"/>
  <c r="E40" i="24"/>
  <c r="C39" i="14"/>
  <c r="I40" i="24"/>
  <c r="B38" i="20"/>
  <c r="C30" i="14"/>
  <c r="J30" i="14" s="1"/>
  <c r="I31" i="24"/>
  <c r="B29" i="20"/>
  <c r="H25" i="24"/>
  <c r="I25" i="24"/>
  <c r="C24" i="14"/>
  <c r="J24" i="14" s="1"/>
  <c r="B23" i="20"/>
  <c r="E17" i="24"/>
  <c r="C16" i="14"/>
  <c r="J16" i="14" s="1"/>
  <c r="I17" i="24"/>
  <c r="B15" i="20"/>
  <c r="E34" i="24"/>
  <c r="I34" i="24"/>
  <c r="C33" i="14"/>
  <c r="J33" i="14" s="1"/>
  <c r="B32" i="20"/>
  <c r="E15" i="24"/>
  <c r="C14" i="14"/>
  <c r="J14" i="14" s="1"/>
  <c r="I15" i="24"/>
  <c r="B13" i="20"/>
  <c r="C35" i="14"/>
  <c r="J35" i="14" s="1"/>
  <c r="I36" i="24"/>
  <c r="B34" i="20"/>
  <c r="J37" i="24"/>
  <c r="K37" i="24" s="1"/>
  <c r="C36" i="14"/>
  <c r="J36" i="14" s="1"/>
  <c r="I37" i="24"/>
  <c r="B35" i="20"/>
  <c r="C38" i="14"/>
  <c r="J38" i="14" s="1"/>
  <c r="I39" i="24"/>
  <c r="B37" i="20"/>
  <c r="I22" i="24"/>
  <c r="C21" i="14"/>
  <c r="J21" i="14" s="1"/>
  <c r="B20" i="20"/>
  <c r="E28" i="24"/>
  <c r="C27" i="14"/>
  <c r="J27" i="14" s="1"/>
  <c r="I28" i="24"/>
  <c r="B26" i="20"/>
  <c r="E38" i="24"/>
  <c r="C37" i="14"/>
  <c r="J37" i="14" s="1"/>
  <c r="I38" i="24"/>
  <c r="B36" i="20"/>
  <c r="E29" i="24"/>
  <c r="C28" i="14"/>
  <c r="J28" i="14" s="1"/>
  <c r="I29" i="24"/>
  <c r="B27" i="20"/>
  <c r="D37" i="24"/>
  <c r="F11" i="24"/>
  <c r="B39" i="5"/>
  <c r="G25" i="24"/>
  <c r="F25" i="24"/>
  <c r="G37" i="24"/>
  <c r="H29" i="24"/>
  <c r="F29" i="24"/>
  <c r="G29" i="24"/>
  <c r="H11" i="24"/>
  <c r="G11" i="24"/>
  <c r="D11" i="24"/>
  <c r="D29" i="24"/>
  <c r="G13" i="24"/>
  <c r="E13" i="24"/>
  <c r="E32" i="24"/>
  <c r="E12" i="24"/>
  <c r="D26" i="24"/>
  <c r="E26" i="24"/>
  <c r="F31" i="24"/>
  <c r="E31" i="24"/>
  <c r="E33" i="24"/>
  <c r="J36" i="24"/>
  <c r="E36" i="24"/>
  <c r="F39" i="24"/>
  <c r="E39" i="24"/>
  <c r="D22" i="24"/>
  <c r="E22" i="24"/>
  <c r="H27" i="24"/>
  <c r="E27" i="24"/>
  <c r="D16" i="24"/>
  <c r="E16" i="24"/>
  <c r="E21" i="24"/>
  <c r="E35" i="24"/>
  <c r="G20" i="24"/>
  <c r="E20" i="24"/>
  <c r="H24" i="24"/>
  <c r="E24" i="24"/>
  <c r="D25" i="24"/>
  <c r="E25" i="24"/>
  <c r="E14" i="24"/>
  <c r="E37" i="24"/>
  <c r="F37" i="24"/>
  <c r="H37" i="24"/>
  <c r="D21" i="24"/>
  <c r="F21" i="24"/>
  <c r="F36" i="24"/>
  <c r="D36" i="24"/>
  <c r="G22" i="24"/>
  <c r="G36" i="24"/>
  <c r="F33" i="24"/>
  <c r="H36" i="24"/>
  <c r="D35" i="24"/>
  <c r="F35" i="24"/>
  <c r="G35" i="24"/>
  <c r="H35" i="24"/>
  <c r="H31" i="24"/>
  <c r="G31" i="24"/>
  <c r="D31" i="24"/>
  <c r="D39" i="24"/>
  <c r="F16" i="24"/>
  <c r="J39" i="24"/>
  <c r="H39" i="24"/>
  <c r="D20" i="24"/>
  <c r="H20" i="24"/>
  <c r="H16" i="24"/>
  <c r="F20" i="24"/>
  <c r="D12" i="24"/>
  <c r="H22" i="24"/>
  <c r="G39" i="24"/>
  <c r="F26" i="24"/>
  <c r="G16" i="24"/>
  <c r="G27" i="24"/>
  <c r="H26" i="24"/>
  <c r="G33" i="24"/>
  <c r="G32" i="24"/>
  <c r="D14" i="24"/>
  <c r="F32" i="24"/>
  <c r="D33" i="24"/>
  <c r="G12" i="24"/>
  <c r="D32" i="24"/>
  <c r="H32" i="24"/>
  <c r="H33" i="24"/>
  <c r="H12" i="24"/>
  <c r="F12" i="24"/>
  <c r="F14" i="24"/>
  <c r="H14" i="24"/>
  <c r="G14" i="24"/>
  <c r="F22" i="24"/>
  <c r="F24" i="24"/>
  <c r="G26" i="24"/>
  <c r="F27" i="24"/>
  <c r="D13" i="24"/>
  <c r="D24" i="24"/>
  <c r="H21" i="24"/>
  <c r="H13" i="24"/>
  <c r="G21" i="24"/>
  <c r="D27" i="24"/>
  <c r="F13" i="24"/>
  <c r="F28" i="24"/>
  <c r="G28" i="24"/>
  <c r="D28" i="24"/>
  <c r="H28" i="24"/>
  <c r="F38" i="24"/>
  <c r="H38" i="24"/>
  <c r="J38" i="24"/>
  <c r="D38" i="24"/>
  <c r="G38" i="24"/>
  <c r="D15" i="24"/>
  <c r="G15" i="24"/>
  <c r="F15" i="24"/>
  <c r="H15" i="24"/>
  <c r="H30" i="24"/>
  <c r="G30" i="24"/>
  <c r="F30" i="24"/>
  <c r="D30" i="24"/>
  <c r="F18" i="24"/>
  <c r="H18" i="24"/>
  <c r="D18" i="24"/>
  <c r="G18" i="24"/>
  <c r="D34" i="24"/>
  <c r="H34" i="24"/>
  <c r="F34" i="24"/>
  <c r="G34" i="24"/>
  <c r="F17" i="24"/>
  <c r="H17" i="24"/>
  <c r="G17" i="24"/>
  <c r="D17" i="24"/>
  <c r="F23" i="24"/>
  <c r="D23" i="24"/>
  <c r="H23" i="24"/>
  <c r="G23" i="24"/>
  <c r="F19" i="24"/>
  <c r="D19" i="24"/>
  <c r="G19" i="24"/>
  <c r="H19" i="24"/>
  <c r="D40" i="24"/>
  <c r="G40" i="24"/>
  <c r="F40" i="24"/>
  <c r="J40" i="24"/>
  <c r="H40" i="24"/>
  <c r="C199" i="14" l="1"/>
  <c r="C188" i="14"/>
  <c r="C182" i="14"/>
  <c r="C189" i="14"/>
  <c r="C178" i="14"/>
  <c r="C179" i="14"/>
  <c r="C181" i="14"/>
  <c r="C191" i="14"/>
  <c r="C193" i="14"/>
  <c r="C197" i="14"/>
  <c r="C206" i="14"/>
  <c r="C195" i="14"/>
  <c r="C183" i="14"/>
  <c r="C187" i="14"/>
  <c r="C203" i="14"/>
  <c r="C180" i="14"/>
  <c r="C177" i="14"/>
  <c r="C198" i="14"/>
  <c r="C184" i="14"/>
  <c r="C186" i="14"/>
  <c r="C201" i="14"/>
  <c r="C185" i="14"/>
  <c r="C202" i="14"/>
  <c r="C194" i="14"/>
  <c r="O43" i="26"/>
  <c r="O44" i="26"/>
  <c r="Z35" i="20"/>
  <c r="H75" i="20" s="1"/>
  <c r="J35" i="20"/>
  <c r="D75" i="20" s="1"/>
  <c r="V35" i="20"/>
  <c r="G75" i="20" s="1"/>
  <c r="R35" i="20"/>
  <c r="F75" i="20" s="1"/>
  <c r="N35" i="20"/>
  <c r="E75" i="20" s="1"/>
  <c r="N34" i="20"/>
  <c r="E74" i="20" s="1"/>
  <c r="Z34" i="20"/>
  <c r="H74" i="20" s="1"/>
  <c r="J34" i="20"/>
  <c r="D74" i="20" s="1"/>
  <c r="V34" i="20"/>
  <c r="G74" i="20" s="1"/>
  <c r="R34" i="20"/>
  <c r="F74" i="20" s="1"/>
  <c r="R37" i="20"/>
  <c r="F77" i="20" s="1"/>
  <c r="N37" i="20"/>
  <c r="E77" i="20" s="1"/>
  <c r="Z37" i="20"/>
  <c r="H77" i="20" s="1"/>
  <c r="J37" i="20"/>
  <c r="D77" i="20" s="1"/>
  <c r="V37" i="20"/>
  <c r="G77" i="20" s="1"/>
  <c r="V36" i="20"/>
  <c r="G76" i="20" s="1"/>
  <c r="R36" i="20"/>
  <c r="F76" i="20" s="1"/>
  <c r="N36" i="20"/>
  <c r="E76" i="20" s="1"/>
  <c r="Z36" i="20"/>
  <c r="H76" i="20" s="1"/>
  <c r="J36" i="20"/>
  <c r="D76" i="20" s="1"/>
  <c r="N38" i="20"/>
  <c r="Z38" i="20"/>
  <c r="J38" i="20"/>
  <c r="V38" i="20"/>
  <c r="R38" i="20"/>
  <c r="J34" i="24"/>
  <c r="J35" i="24"/>
  <c r="X35" i="24" s="1"/>
  <c r="J33" i="24"/>
  <c r="X33" i="24" s="1"/>
  <c r="J32" i="24"/>
  <c r="X32" i="24" s="1"/>
  <c r="J31" i="24"/>
  <c r="X31" i="24" s="1"/>
  <c r="J30" i="24"/>
  <c r="X30" i="24" s="1"/>
  <c r="J28" i="24"/>
  <c r="X28" i="24" s="1"/>
  <c r="J27" i="24"/>
  <c r="J29" i="24"/>
  <c r="X29" i="24" s="1"/>
  <c r="J26" i="24"/>
  <c r="X26" i="24" s="1"/>
  <c r="J24" i="24"/>
  <c r="X24" i="24" s="1"/>
  <c r="J25" i="24"/>
  <c r="X25" i="24" s="1"/>
  <c r="J23" i="24"/>
  <c r="X23" i="24" s="1"/>
  <c r="J22" i="24"/>
  <c r="W22" i="24" s="1"/>
  <c r="U14" i="6"/>
  <c r="W21" i="6"/>
  <c r="F77" i="6"/>
  <c r="P21" i="6"/>
  <c r="T21" i="6"/>
  <c r="S21" i="6"/>
  <c r="X21" i="6"/>
  <c r="R21" i="6"/>
  <c r="Y21" i="6"/>
  <c r="U21" i="6"/>
  <c r="V21" i="6"/>
  <c r="T14" i="6"/>
  <c r="Q12" i="6"/>
  <c r="Z11" i="6"/>
  <c r="R14" i="6"/>
  <c r="Z20" i="6"/>
  <c r="S14" i="6"/>
  <c r="X14" i="6"/>
  <c r="Y14" i="6"/>
  <c r="V14" i="6"/>
  <c r="H76" i="6"/>
  <c r="G76" i="6"/>
  <c r="Q21" i="6"/>
  <c r="H77" i="14"/>
  <c r="C77" i="14"/>
  <c r="J39" i="14"/>
  <c r="D77" i="14"/>
  <c r="Z26" i="15"/>
  <c r="AA26" i="15"/>
  <c r="AB26" i="15"/>
  <c r="AB25" i="15"/>
  <c r="AA25" i="15"/>
  <c r="Z25" i="15"/>
  <c r="D33" i="6"/>
  <c r="D42" i="6" s="1"/>
  <c r="D52" i="6" s="1"/>
  <c r="D61" i="6" s="1"/>
  <c r="P33" i="6"/>
  <c r="P42" i="6" s="1"/>
  <c r="P52" i="6" s="1"/>
  <c r="P61" i="6" s="1"/>
  <c r="R33" i="6"/>
  <c r="R42" i="6" s="1"/>
  <c r="R52" i="6" s="1"/>
  <c r="R61" i="6" s="1"/>
  <c r="AD33" i="6"/>
  <c r="AD42" i="6" s="1"/>
  <c r="AD52" i="6" s="1"/>
  <c r="AD61" i="6" s="1"/>
  <c r="AE33" i="6"/>
  <c r="AE42" i="6" s="1"/>
  <c r="AE52" i="6" s="1"/>
  <c r="AE61" i="6" s="1"/>
  <c r="G33" i="6"/>
  <c r="G42" i="6" s="1"/>
  <c r="G52" i="6" s="1"/>
  <c r="G61" i="6" s="1"/>
  <c r="V33" i="6"/>
  <c r="V42" i="6" s="1"/>
  <c r="V52" i="6" s="1"/>
  <c r="V61" i="6" s="1"/>
  <c r="Y33" i="6"/>
  <c r="Y42" i="6" s="1"/>
  <c r="Y52" i="6" s="1"/>
  <c r="Y61" i="6" s="1"/>
  <c r="AB33" i="6"/>
  <c r="AB42" i="6" s="1"/>
  <c r="AB52" i="6" s="1"/>
  <c r="AB61" i="6" s="1"/>
  <c r="T33" i="6"/>
  <c r="T42" i="6" s="1"/>
  <c r="T52" i="6" s="1"/>
  <c r="T61" i="6" s="1"/>
  <c r="Q33" i="6"/>
  <c r="Q42" i="6" s="1"/>
  <c r="Q52" i="6" s="1"/>
  <c r="Q61" i="6" s="1"/>
  <c r="M33" i="6"/>
  <c r="M42" i="6" s="1"/>
  <c r="M52" i="6" s="1"/>
  <c r="M61" i="6" s="1"/>
  <c r="L33" i="6"/>
  <c r="L42" i="6" s="1"/>
  <c r="L52" i="6" s="1"/>
  <c r="L61" i="6" s="1"/>
  <c r="O33" i="6"/>
  <c r="O42" i="6" s="1"/>
  <c r="O52" i="6" s="1"/>
  <c r="O61" i="6" s="1"/>
  <c r="F33" i="6"/>
  <c r="F42" i="6" s="1"/>
  <c r="F52" i="6" s="1"/>
  <c r="F61" i="6" s="1"/>
  <c r="U33" i="6"/>
  <c r="U42" i="6" s="1"/>
  <c r="U52" i="6" s="1"/>
  <c r="U61" i="6" s="1"/>
  <c r="I33" i="6"/>
  <c r="I42" i="6" s="1"/>
  <c r="I52" i="6" s="1"/>
  <c r="I61" i="6" s="1"/>
  <c r="S33" i="6"/>
  <c r="S42" i="6" s="1"/>
  <c r="S52" i="6" s="1"/>
  <c r="S61" i="6" s="1"/>
  <c r="AA33" i="6"/>
  <c r="AA42" i="6" s="1"/>
  <c r="AA52" i="6" s="1"/>
  <c r="AA61" i="6" s="1"/>
  <c r="J33" i="6"/>
  <c r="J42" i="6" s="1"/>
  <c r="J52" i="6" s="1"/>
  <c r="J61" i="6" s="1"/>
  <c r="AC33" i="6"/>
  <c r="AC42" i="6" s="1"/>
  <c r="AC52" i="6" s="1"/>
  <c r="AC61" i="6" s="1"/>
  <c r="AG33" i="6"/>
  <c r="AG42" i="6" s="1"/>
  <c r="AG52" i="6" s="1"/>
  <c r="AG61" i="6" s="1"/>
  <c r="E33" i="6"/>
  <c r="E42" i="6" s="1"/>
  <c r="E52" i="6" s="1"/>
  <c r="E61" i="6" s="1"/>
  <c r="X33" i="6"/>
  <c r="X42" i="6" s="1"/>
  <c r="X52" i="6" s="1"/>
  <c r="X61" i="6" s="1"/>
  <c r="K33" i="6"/>
  <c r="K42" i="6" s="1"/>
  <c r="K52" i="6" s="1"/>
  <c r="K61" i="6" s="1"/>
  <c r="W33" i="6"/>
  <c r="W42" i="6" s="1"/>
  <c r="W52" i="6" s="1"/>
  <c r="W61" i="6" s="1"/>
  <c r="Z33" i="6"/>
  <c r="Z42" i="6" s="1"/>
  <c r="Z52" i="6" s="1"/>
  <c r="Z61" i="6" s="1"/>
  <c r="AF33" i="6"/>
  <c r="AF42" i="6" s="1"/>
  <c r="AF52" i="6" s="1"/>
  <c r="AF61" i="6" s="1"/>
  <c r="N33" i="6"/>
  <c r="N42" i="6" s="1"/>
  <c r="N52" i="6" s="1"/>
  <c r="N61" i="6" s="1"/>
  <c r="H33" i="6"/>
  <c r="H42" i="6" s="1"/>
  <c r="H52" i="6" s="1"/>
  <c r="H61" i="6" s="1"/>
  <c r="V13" i="24"/>
  <c r="W13" i="24"/>
  <c r="W12" i="24"/>
  <c r="V12" i="24"/>
  <c r="V39" i="24"/>
  <c r="W39" i="24"/>
  <c r="V35" i="24"/>
  <c r="W35" i="24"/>
  <c r="W40" i="24"/>
  <c r="V40" i="24"/>
  <c r="W32" i="24"/>
  <c r="V32" i="24"/>
  <c r="V28" i="24"/>
  <c r="V15" i="24"/>
  <c r="V31" i="24"/>
  <c r="W31" i="24"/>
  <c r="V27" i="24"/>
  <c r="V25" i="24"/>
  <c r="V16" i="24"/>
  <c r="V36" i="24"/>
  <c r="W36" i="24"/>
  <c r="V37" i="24"/>
  <c r="W37" i="24"/>
  <c r="V19" i="24"/>
  <c r="V38" i="24"/>
  <c r="W38" i="24"/>
  <c r="V24" i="24"/>
  <c r="V21" i="24"/>
  <c r="V23" i="24"/>
  <c r="V26" i="24"/>
  <c r="V20" i="24"/>
  <c r="V34" i="24"/>
  <c r="W34" i="24"/>
  <c r="V22" i="24"/>
  <c r="V11" i="24"/>
  <c r="V30" i="24"/>
  <c r="W30" i="24"/>
  <c r="V14" i="24"/>
  <c r="V17" i="24"/>
  <c r="V29" i="24"/>
  <c r="W29" i="24"/>
  <c r="V33" i="24"/>
  <c r="W33" i="24"/>
  <c r="V18" i="24"/>
  <c r="Y17" i="24"/>
  <c r="X40" i="24"/>
  <c r="Y40" i="24"/>
  <c r="Z40" i="24"/>
  <c r="Y34" i="24"/>
  <c r="Z34" i="24"/>
  <c r="X34" i="24"/>
  <c r="Z33" i="24"/>
  <c r="Y33" i="24"/>
  <c r="X39" i="24"/>
  <c r="Y39" i="24"/>
  <c r="Z39" i="24"/>
  <c r="Y36" i="24"/>
  <c r="X36" i="24"/>
  <c r="Z36" i="24"/>
  <c r="Z37" i="24"/>
  <c r="X37" i="24"/>
  <c r="Y37" i="24"/>
  <c r="Z30" i="24"/>
  <c r="Y30" i="24"/>
  <c r="Y23" i="24"/>
  <c r="Z28" i="24"/>
  <c r="Y28" i="24"/>
  <c r="Y20" i="24"/>
  <c r="Z27" i="24"/>
  <c r="Y27" i="24"/>
  <c r="Y19" i="24"/>
  <c r="Z38" i="24"/>
  <c r="X38" i="24"/>
  <c r="Y38" i="24"/>
  <c r="Y24" i="24"/>
  <c r="Y21" i="24"/>
  <c r="Y29" i="24"/>
  <c r="Z31" i="24"/>
  <c r="Y31" i="24"/>
  <c r="Y22" i="24"/>
  <c r="Y26" i="24"/>
  <c r="Y35" i="24"/>
  <c r="Z35" i="24"/>
  <c r="Y32" i="24"/>
  <c r="Z32" i="24"/>
  <c r="Y18" i="24"/>
  <c r="B16" i="19"/>
  <c r="B9" i="19"/>
  <c r="B30" i="19"/>
  <c r="B13" i="19"/>
  <c r="B26" i="19"/>
  <c r="B11" i="19"/>
  <c r="B29" i="19"/>
  <c r="B22" i="19"/>
  <c r="B24" i="19"/>
  <c r="B8" i="19"/>
  <c r="B34" i="19"/>
  <c r="B25" i="19"/>
  <c r="B12" i="19"/>
  <c r="B21" i="19"/>
  <c r="B14" i="19"/>
  <c r="B6" i="19"/>
  <c r="B19" i="19"/>
  <c r="B23" i="19"/>
  <c r="B28" i="19"/>
  <c r="B10" i="19"/>
  <c r="B15" i="19"/>
  <c r="B27" i="19"/>
  <c r="B32" i="19"/>
  <c r="B33" i="19"/>
  <c r="B20" i="19"/>
  <c r="B31" i="19"/>
  <c r="B17" i="19"/>
  <c r="B7" i="19"/>
  <c r="B18" i="19"/>
  <c r="H70" i="14"/>
  <c r="D70" i="14"/>
  <c r="H68" i="14"/>
  <c r="D68" i="14"/>
  <c r="H71" i="14"/>
  <c r="D71" i="14"/>
  <c r="H76" i="14"/>
  <c r="D76" i="14"/>
  <c r="H48" i="14"/>
  <c r="D48" i="14"/>
  <c r="H74" i="14"/>
  <c r="D74" i="14"/>
  <c r="H55" i="14"/>
  <c r="D55" i="14"/>
  <c r="H72" i="14"/>
  <c r="D72" i="14"/>
  <c r="H67" i="14"/>
  <c r="D67" i="14"/>
  <c r="H54" i="14"/>
  <c r="D54" i="14"/>
  <c r="H60" i="14"/>
  <c r="D60" i="14"/>
  <c r="H51" i="14"/>
  <c r="D51" i="14"/>
  <c r="H65" i="14"/>
  <c r="D65" i="14"/>
  <c r="H52" i="14"/>
  <c r="D52" i="14"/>
  <c r="H57" i="14"/>
  <c r="D57" i="14"/>
  <c r="H49" i="14"/>
  <c r="D49" i="14"/>
  <c r="H66" i="14"/>
  <c r="D66" i="14"/>
  <c r="H75" i="14"/>
  <c r="D75" i="14"/>
  <c r="H62" i="14"/>
  <c r="D62" i="14"/>
  <c r="H61" i="14"/>
  <c r="D61" i="14"/>
  <c r="H53" i="14"/>
  <c r="D53" i="14"/>
  <c r="H64" i="14"/>
  <c r="D64" i="14"/>
  <c r="H63" i="14"/>
  <c r="D63" i="14"/>
  <c r="H58" i="14"/>
  <c r="D58" i="14"/>
  <c r="H50" i="14"/>
  <c r="D50" i="14"/>
  <c r="H59" i="14"/>
  <c r="D59" i="14"/>
  <c r="H69" i="14"/>
  <c r="D69" i="14"/>
  <c r="H56" i="14"/>
  <c r="D56" i="14"/>
  <c r="H73" i="14"/>
  <c r="D73" i="14"/>
  <c r="J21" i="24"/>
  <c r="B69" i="20"/>
  <c r="C29" i="20"/>
  <c r="W29" i="20"/>
  <c r="G29" i="20"/>
  <c r="K29" i="20"/>
  <c r="O29" i="20"/>
  <c r="S29" i="20"/>
  <c r="D29" i="20"/>
  <c r="G13" i="14"/>
  <c r="D13" i="14"/>
  <c r="H13" i="14"/>
  <c r="E13" i="14"/>
  <c r="C51" i="14"/>
  <c r="F13" i="14"/>
  <c r="D30" i="14"/>
  <c r="E30" i="14"/>
  <c r="C68" i="14"/>
  <c r="F30" i="14"/>
  <c r="H30" i="14"/>
  <c r="G30" i="14"/>
  <c r="G34" i="14"/>
  <c r="K34" i="14" s="1"/>
  <c r="E34" i="14"/>
  <c r="C72" i="14"/>
  <c r="D34" i="14"/>
  <c r="H34" i="14"/>
  <c r="F34" i="14"/>
  <c r="B50" i="20"/>
  <c r="D10" i="20"/>
  <c r="C10" i="20"/>
  <c r="B68" i="20"/>
  <c r="C28" i="20"/>
  <c r="W28" i="20"/>
  <c r="K28" i="20"/>
  <c r="O28" i="20"/>
  <c r="S28" i="20"/>
  <c r="G28" i="20"/>
  <c r="D28" i="20"/>
  <c r="G11" i="14"/>
  <c r="E11" i="14"/>
  <c r="C49" i="14"/>
  <c r="D11" i="14"/>
  <c r="F11" i="14"/>
  <c r="H11" i="14"/>
  <c r="G31" i="14"/>
  <c r="C69" i="14"/>
  <c r="F31" i="14"/>
  <c r="D31" i="14"/>
  <c r="E31" i="14"/>
  <c r="H31" i="14"/>
  <c r="B55" i="20"/>
  <c r="D15" i="20"/>
  <c r="C15" i="20"/>
  <c r="G29" i="14"/>
  <c r="K29" i="14" s="1"/>
  <c r="C67" i="14"/>
  <c r="F29" i="14"/>
  <c r="H29" i="14"/>
  <c r="D29" i="14"/>
  <c r="E29" i="14"/>
  <c r="D26" i="14"/>
  <c r="F26" i="14"/>
  <c r="C64" i="14"/>
  <c r="H26" i="14"/>
  <c r="G26" i="14"/>
  <c r="E26" i="14"/>
  <c r="B49" i="20"/>
  <c r="C9" i="20"/>
  <c r="E9" i="20" s="1"/>
  <c r="E28" i="14"/>
  <c r="G28" i="14"/>
  <c r="H28" i="14"/>
  <c r="D28" i="14"/>
  <c r="F28" i="14"/>
  <c r="C66" i="14"/>
  <c r="B75" i="20"/>
  <c r="C35" i="20"/>
  <c r="Y35" i="20"/>
  <c r="F35" i="20"/>
  <c r="C75" i="20" s="1"/>
  <c r="S35" i="20"/>
  <c r="Q35" i="20"/>
  <c r="K35" i="20"/>
  <c r="M35" i="20"/>
  <c r="W35" i="20"/>
  <c r="I35" i="20"/>
  <c r="G35" i="20"/>
  <c r="U35" i="20"/>
  <c r="O35" i="20"/>
  <c r="E35" i="20"/>
  <c r="D35" i="20"/>
  <c r="B64" i="20"/>
  <c r="G24" i="20"/>
  <c r="C24" i="20"/>
  <c r="K24" i="20"/>
  <c r="O24" i="20"/>
  <c r="S24" i="20"/>
  <c r="W24" i="20"/>
  <c r="D24" i="20"/>
  <c r="B53" i="20"/>
  <c r="D13" i="20"/>
  <c r="C13" i="20"/>
  <c r="G14" i="14"/>
  <c r="D14" i="14"/>
  <c r="E14" i="14"/>
  <c r="F14" i="14"/>
  <c r="H14" i="14"/>
  <c r="C52" i="14"/>
  <c r="B73" i="20"/>
  <c r="G33" i="20"/>
  <c r="W33" i="20"/>
  <c r="C33" i="20"/>
  <c r="O33" i="20"/>
  <c r="S33" i="20"/>
  <c r="K33" i="20"/>
  <c r="D33" i="20"/>
  <c r="E33" i="20" s="1"/>
  <c r="B60" i="20"/>
  <c r="W20" i="20"/>
  <c r="O20" i="20"/>
  <c r="C20" i="20"/>
  <c r="G20" i="20"/>
  <c r="S20" i="20"/>
  <c r="K20" i="20"/>
  <c r="D20" i="20"/>
  <c r="B58" i="20"/>
  <c r="C18" i="20"/>
  <c r="D18" i="20"/>
  <c r="F33" i="14"/>
  <c r="C71" i="14"/>
  <c r="G33" i="14"/>
  <c r="K33" i="14" s="1"/>
  <c r="D33" i="14"/>
  <c r="E33" i="14"/>
  <c r="H33" i="14"/>
  <c r="B77" i="20"/>
  <c r="O37" i="20"/>
  <c r="C37" i="20"/>
  <c r="M37" i="20"/>
  <c r="K37" i="20"/>
  <c r="I37" i="20"/>
  <c r="Y37" i="20"/>
  <c r="S37" i="20"/>
  <c r="E37" i="20"/>
  <c r="F37" i="20"/>
  <c r="C77" i="20" s="1"/>
  <c r="G37" i="20"/>
  <c r="W37" i="20"/>
  <c r="Q37" i="20"/>
  <c r="U37" i="20"/>
  <c r="D37" i="20"/>
  <c r="B65" i="20"/>
  <c r="S25" i="20"/>
  <c r="G25" i="20"/>
  <c r="C25" i="20"/>
  <c r="W25" i="20"/>
  <c r="K25" i="20"/>
  <c r="O25" i="20"/>
  <c r="D25" i="20"/>
  <c r="E25" i="20" s="1"/>
  <c r="B67" i="20"/>
  <c r="S27" i="20"/>
  <c r="C27" i="20"/>
  <c r="O27" i="20"/>
  <c r="W27" i="20"/>
  <c r="K27" i="20"/>
  <c r="G27" i="20"/>
  <c r="D27" i="20"/>
  <c r="D38" i="14"/>
  <c r="G38" i="14"/>
  <c r="L38" i="14"/>
  <c r="E38" i="14"/>
  <c r="H38" i="14"/>
  <c r="K38" i="14"/>
  <c r="I38" i="14"/>
  <c r="M38" i="14" s="1"/>
  <c r="F38" i="14"/>
  <c r="C76" i="14"/>
  <c r="B57" i="20"/>
  <c r="D17" i="20"/>
  <c r="C17" i="20"/>
  <c r="G16" i="14"/>
  <c r="C54" i="14"/>
  <c r="D16" i="14"/>
  <c r="F16" i="14"/>
  <c r="E16" i="14"/>
  <c r="H16" i="14"/>
  <c r="D25" i="14"/>
  <c r="C63" i="14"/>
  <c r="E25" i="14"/>
  <c r="G25" i="14"/>
  <c r="F25" i="14"/>
  <c r="H25" i="14"/>
  <c r="G18" i="14"/>
  <c r="H18" i="14"/>
  <c r="D18" i="14"/>
  <c r="E18" i="14"/>
  <c r="C56" i="14"/>
  <c r="F18" i="14"/>
  <c r="C48" i="14"/>
  <c r="E10" i="14"/>
  <c r="F10" i="14"/>
  <c r="G10" i="14"/>
  <c r="D10" i="14"/>
  <c r="H10" i="14"/>
  <c r="G27" i="14"/>
  <c r="K27" i="14" s="1"/>
  <c r="F27" i="14"/>
  <c r="D27" i="14"/>
  <c r="E27" i="14"/>
  <c r="C65" i="14"/>
  <c r="H27" i="14"/>
  <c r="B72" i="20"/>
  <c r="W32" i="20"/>
  <c r="S32" i="20"/>
  <c r="K32" i="20"/>
  <c r="G32" i="20"/>
  <c r="C32" i="20"/>
  <c r="O32" i="20"/>
  <c r="D32" i="20"/>
  <c r="G15" i="14"/>
  <c r="D15" i="14"/>
  <c r="F15" i="14"/>
  <c r="H15" i="14"/>
  <c r="C53" i="14"/>
  <c r="E15" i="14"/>
  <c r="B70" i="20"/>
  <c r="K30" i="20"/>
  <c r="W30" i="20"/>
  <c r="G30" i="20"/>
  <c r="C30" i="20"/>
  <c r="S30" i="20"/>
  <c r="O30" i="20"/>
  <c r="D30" i="20"/>
  <c r="B61" i="20"/>
  <c r="S21" i="20"/>
  <c r="G21" i="20"/>
  <c r="W21" i="20"/>
  <c r="C21" i="20"/>
  <c r="K21" i="20"/>
  <c r="O21" i="20"/>
  <c r="D21" i="20"/>
  <c r="B74" i="20"/>
  <c r="I34" i="20"/>
  <c r="U34" i="20"/>
  <c r="E34" i="20"/>
  <c r="M34" i="20"/>
  <c r="S34" i="20"/>
  <c r="W34" i="20"/>
  <c r="Q34" i="20"/>
  <c r="O34" i="20"/>
  <c r="Y34" i="20"/>
  <c r="F34" i="20"/>
  <c r="C74" i="20" s="1"/>
  <c r="C34" i="20"/>
  <c r="G34" i="20"/>
  <c r="K34" i="20"/>
  <c r="D34" i="20"/>
  <c r="F20" i="14"/>
  <c r="H20" i="14"/>
  <c r="G20" i="14"/>
  <c r="D20" i="14"/>
  <c r="C58" i="14"/>
  <c r="E20" i="14"/>
  <c r="G12" i="14"/>
  <c r="D12" i="14"/>
  <c r="C50" i="14"/>
  <c r="E12" i="14"/>
  <c r="H12" i="14"/>
  <c r="F12" i="14"/>
  <c r="F17" i="14"/>
  <c r="G17" i="14"/>
  <c r="C55" i="14"/>
  <c r="H17" i="14"/>
  <c r="D17" i="14"/>
  <c r="E17" i="14"/>
  <c r="G32" i="14"/>
  <c r="K32" i="14" s="1"/>
  <c r="C70" i="14"/>
  <c r="H32" i="14"/>
  <c r="F32" i="14"/>
  <c r="E32" i="14"/>
  <c r="D32" i="14"/>
  <c r="B54" i="20"/>
  <c r="D14" i="20"/>
  <c r="C14" i="20"/>
  <c r="G38" i="20"/>
  <c r="W38" i="20"/>
  <c r="C38" i="20"/>
  <c r="S38" i="20"/>
  <c r="E38" i="20"/>
  <c r="I38" i="20"/>
  <c r="M38" i="20"/>
  <c r="Q38" i="20"/>
  <c r="U38" i="20"/>
  <c r="O38" i="20"/>
  <c r="F38" i="20"/>
  <c r="Y38" i="20"/>
  <c r="K38" i="20"/>
  <c r="D38" i="20"/>
  <c r="E21" i="14"/>
  <c r="H21" i="14"/>
  <c r="D21" i="14"/>
  <c r="G21" i="14"/>
  <c r="K21" i="14" s="1"/>
  <c r="C59" i="14"/>
  <c r="F21" i="14"/>
  <c r="E19" i="14"/>
  <c r="D19" i="14"/>
  <c r="H19" i="14"/>
  <c r="C57" i="14"/>
  <c r="F19" i="14"/>
  <c r="G19" i="14"/>
  <c r="H39" i="14"/>
  <c r="F39" i="14"/>
  <c r="G39" i="14"/>
  <c r="E39" i="14"/>
  <c r="K39" i="14"/>
  <c r="D39" i="14"/>
  <c r="I39" i="14"/>
  <c r="M39" i="14" s="1"/>
  <c r="L39" i="14"/>
  <c r="B76" i="20"/>
  <c r="M36" i="20"/>
  <c r="S36" i="20"/>
  <c r="W36" i="20"/>
  <c r="Q36" i="20"/>
  <c r="C36" i="20"/>
  <c r="G36" i="20"/>
  <c r="Y36" i="20"/>
  <c r="U36" i="20"/>
  <c r="E36" i="20"/>
  <c r="K36" i="20"/>
  <c r="I36" i="20"/>
  <c r="O36" i="20"/>
  <c r="F36" i="20"/>
  <c r="C76" i="20" s="1"/>
  <c r="D36" i="20"/>
  <c r="F36" i="14"/>
  <c r="C74" i="14"/>
  <c r="K36" i="14"/>
  <c r="E36" i="14"/>
  <c r="G36" i="14"/>
  <c r="H36" i="14"/>
  <c r="D36" i="14"/>
  <c r="I36" i="14"/>
  <c r="M36" i="14" s="1"/>
  <c r="L36" i="14"/>
  <c r="B63" i="20"/>
  <c r="K23" i="20"/>
  <c r="C23" i="20"/>
  <c r="S23" i="20"/>
  <c r="W23" i="20"/>
  <c r="G23" i="20"/>
  <c r="O23" i="20"/>
  <c r="D23" i="20"/>
  <c r="D22" i="14"/>
  <c r="F22" i="14"/>
  <c r="G22" i="14"/>
  <c r="K22" i="14" s="1"/>
  <c r="C60" i="14"/>
  <c r="E22" i="14"/>
  <c r="H22" i="14"/>
  <c r="B59" i="20"/>
  <c r="C19" i="20"/>
  <c r="D19" i="20"/>
  <c r="B51" i="20"/>
  <c r="D11" i="20"/>
  <c r="C11" i="20"/>
  <c r="B62" i="20"/>
  <c r="K22" i="20"/>
  <c r="G22" i="20"/>
  <c r="C22" i="20"/>
  <c r="W22" i="20"/>
  <c r="O22" i="20"/>
  <c r="S22" i="20"/>
  <c r="D22" i="20"/>
  <c r="F37" i="14"/>
  <c r="D37" i="14"/>
  <c r="I37" i="14"/>
  <c r="M37" i="14" s="1"/>
  <c r="E37" i="14"/>
  <c r="G37" i="14"/>
  <c r="L37" i="14"/>
  <c r="C75" i="14"/>
  <c r="K37" i="14"/>
  <c r="H37" i="14"/>
  <c r="H24" i="14"/>
  <c r="E24" i="14"/>
  <c r="G24" i="14"/>
  <c r="K24" i="14" s="1"/>
  <c r="F24" i="14"/>
  <c r="D24" i="14"/>
  <c r="C62" i="14"/>
  <c r="G23" i="14"/>
  <c r="K23" i="14" s="1"/>
  <c r="C61" i="14"/>
  <c r="H23" i="14"/>
  <c r="E23" i="14"/>
  <c r="F23" i="14"/>
  <c r="D23" i="14"/>
  <c r="B66" i="20"/>
  <c r="C26" i="20"/>
  <c r="K26" i="20"/>
  <c r="W26" i="20"/>
  <c r="O26" i="20"/>
  <c r="G26" i="20"/>
  <c r="S26" i="20"/>
  <c r="D26" i="20"/>
  <c r="K35" i="14"/>
  <c r="I35" i="14"/>
  <c r="M35" i="14" s="1"/>
  <c r="L35" i="14"/>
  <c r="D35" i="14"/>
  <c r="H35" i="14"/>
  <c r="C73" i="14"/>
  <c r="E35" i="14"/>
  <c r="F35" i="14"/>
  <c r="G35" i="14"/>
  <c r="B56" i="20"/>
  <c r="D16" i="20"/>
  <c r="C16" i="20"/>
  <c r="B71" i="20"/>
  <c r="C31" i="20"/>
  <c r="G31" i="20"/>
  <c r="O31" i="20"/>
  <c r="K31" i="20"/>
  <c r="S31" i="20"/>
  <c r="W31" i="20"/>
  <c r="D31" i="20"/>
  <c r="B52" i="20"/>
  <c r="D12" i="20"/>
  <c r="C12" i="20"/>
  <c r="J20" i="24"/>
  <c r="X20" i="24" s="1"/>
  <c r="J11" i="24"/>
  <c r="J19" i="24"/>
  <c r="B40" i="5"/>
  <c r="K39" i="24"/>
  <c r="K36" i="24"/>
  <c r="J18" i="24"/>
  <c r="J14" i="24"/>
  <c r="J12" i="24"/>
  <c r="J16" i="24"/>
  <c r="J15" i="24"/>
  <c r="J13" i="24"/>
  <c r="J17" i="24"/>
  <c r="K40" i="24"/>
  <c r="K38" i="24"/>
  <c r="G4" i="20"/>
  <c r="K13" i="24" l="1"/>
  <c r="K12" i="24"/>
  <c r="K11" i="24"/>
  <c r="I43" i="26"/>
  <c r="I44" i="26"/>
  <c r="Y40" i="15"/>
  <c r="Y39" i="15"/>
  <c r="X27" i="24"/>
  <c r="K27" i="24"/>
  <c r="Y13" i="24"/>
  <c r="X16" i="24"/>
  <c r="K16" i="24"/>
  <c r="Y12" i="24"/>
  <c r="Z11" i="24"/>
  <c r="Z17" i="24"/>
  <c r="K17" i="24"/>
  <c r="Z15" i="24"/>
  <c r="K15" i="24"/>
  <c r="W14" i="24"/>
  <c r="K14" i="24"/>
  <c r="X18" i="24"/>
  <c r="K18" i="24"/>
  <c r="X21" i="24"/>
  <c r="K21" i="24"/>
  <c r="X19" i="24"/>
  <c r="K19" i="24"/>
  <c r="Y25" i="24"/>
  <c r="W24" i="24"/>
  <c r="W28" i="24"/>
  <c r="I74" i="20"/>
  <c r="I77" i="20"/>
  <c r="I76" i="20"/>
  <c r="I75" i="20"/>
  <c r="I34" i="14"/>
  <c r="K30" i="19" s="1"/>
  <c r="Z29" i="24"/>
  <c r="Z26" i="24"/>
  <c r="K35" i="24"/>
  <c r="E32" i="20"/>
  <c r="X22" i="24"/>
  <c r="K34" i="24"/>
  <c r="I33" i="14"/>
  <c r="K29" i="19" s="1"/>
  <c r="W17" i="24"/>
  <c r="Y16" i="24"/>
  <c r="W27" i="24"/>
  <c r="E31" i="20"/>
  <c r="I32" i="14"/>
  <c r="I31" i="14"/>
  <c r="K27" i="19" s="1"/>
  <c r="Z25" i="24"/>
  <c r="W26" i="24"/>
  <c r="E30" i="20"/>
  <c r="I30" i="14"/>
  <c r="K26" i="19" s="1"/>
  <c r="K33" i="24"/>
  <c r="K32" i="24"/>
  <c r="K31" i="14"/>
  <c r="E29" i="20"/>
  <c r="Z24" i="24"/>
  <c r="K30" i="14"/>
  <c r="K31" i="24"/>
  <c r="W25" i="24"/>
  <c r="E28" i="20"/>
  <c r="Z23" i="24"/>
  <c r="I29" i="14"/>
  <c r="K30" i="24"/>
  <c r="E27" i="20"/>
  <c r="E26" i="20"/>
  <c r="I28" i="14"/>
  <c r="Z22" i="24"/>
  <c r="K28" i="14"/>
  <c r="W19" i="24"/>
  <c r="Y15" i="24"/>
  <c r="I27" i="14"/>
  <c r="W16" i="24"/>
  <c r="K29" i="24"/>
  <c r="I26" i="14"/>
  <c r="W20" i="24"/>
  <c r="W23" i="24"/>
  <c r="I25" i="14"/>
  <c r="K25" i="14"/>
  <c r="E24" i="20"/>
  <c r="K26" i="14"/>
  <c r="Z21" i="24"/>
  <c r="K28" i="24"/>
  <c r="K26" i="24"/>
  <c r="I22" i="14"/>
  <c r="I23" i="14"/>
  <c r="K19" i="19" s="1"/>
  <c r="E23" i="20"/>
  <c r="E21" i="20"/>
  <c r="I24" i="14"/>
  <c r="E22" i="20"/>
  <c r="E20" i="20"/>
  <c r="K25" i="24"/>
  <c r="W18" i="24"/>
  <c r="K24" i="24"/>
  <c r="Z20" i="24"/>
  <c r="K23" i="24"/>
  <c r="I21" i="14"/>
  <c r="W21" i="24"/>
  <c r="K22" i="24"/>
  <c r="W15" i="24"/>
  <c r="Y14" i="24"/>
  <c r="Z19" i="24"/>
  <c r="Z16" i="24"/>
  <c r="Z18" i="24"/>
  <c r="X17" i="24"/>
  <c r="X11" i="24"/>
  <c r="X12" i="24"/>
  <c r="P22" i="6"/>
  <c r="F78" i="6"/>
  <c r="W22" i="6"/>
  <c r="V22" i="6"/>
  <c r="U22" i="6"/>
  <c r="Y22" i="6"/>
  <c r="X22" i="6"/>
  <c r="S22" i="6"/>
  <c r="R22" i="6"/>
  <c r="T22" i="6"/>
  <c r="H77" i="6"/>
  <c r="G77" i="6"/>
  <c r="Z12" i="6"/>
  <c r="Q23" i="6" s="1"/>
  <c r="Q14" i="6"/>
  <c r="Q22" i="6"/>
  <c r="Z21" i="6"/>
  <c r="E57" i="14"/>
  <c r="E67" i="14"/>
  <c r="E69" i="14"/>
  <c r="E61" i="14"/>
  <c r="E59" i="14"/>
  <c r="E70" i="14"/>
  <c r="E50" i="14"/>
  <c r="E49" i="14"/>
  <c r="E54" i="14"/>
  <c r="E71" i="14"/>
  <c r="E66" i="14"/>
  <c r="E51" i="14"/>
  <c r="E77" i="14"/>
  <c r="F77" i="14"/>
  <c r="G77" i="14" s="1"/>
  <c r="E62" i="14"/>
  <c r="E74" i="14"/>
  <c r="F74" i="14"/>
  <c r="G74" i="14" s="1"/>
  <c r="E56" i="14"/>
  <c r="E63" i="14"/>
  <c r="E52" i="14"/>
  <c r="E68" i="14"/>
  <c r="E73" i="14"/>
  <c r="F73" i="14"/>
  <c r="G73" i="14" s="1"/>
  <c r="E58" i="14"/>
  <c r="E64" i="14"/>
  <c r="E75" i="14"/>
  <c r="F75" i="14"/>
  <c r="G75" i="14" s="1"/>
  <c r="E60" i="14"/>
  <c r="E55" i="14"/>
  <c r="E53" i="14"/>
  <c r="E65" i="14"/>
  <c r="E76" i="14"/>
  <c r="F76" i="14"/>
  <c r="G76" i="14" s="1"/>
  <c r="E72" i="14"/>
  <c r="Z34" i="6"/>
  <c r="Z38" i="6"/>
  <c r="Z37" i="6"/>
  <c r="Z36" i="6"/>
  <c r="Z39" i="6"/>
  <c r="Z35" i="6"/>
  <c r="E34" i="6"/>
  <c r="E38" i="6"/>
  <c r="E37" i="6"/>
  <c r="E39" i="6"/>
  <c r="E36" i="6"/>
  <c r="E35" i="6"/>
  <c r="AA34" i="6"/>
  <c r="AA35" i="6"/>
  <c r="AA37" i="6"/>
  <c r="AA38" i="6"/>
  <c r="AA36" i="6"/>
  <c r="AA39" i="6"/>
  <c r="F37" i="6"/>
  <c r="F36" i="6"/>
  <c r="F34" i="6"/>
  <c r="F39" i="6"/>
  <c r="F38" i="6"/>
  <c r="F35" i="6"/>
  <c r="Q35" i="6"/>
  <c r="Q37" i="6"/>
  <c r="Q34" i="6"/>
  <c r="Q36" i="6"/>
  <c r="Q39" i="6"/>
  <c r="Q38" i="6"/>
  <c r="V34" i="6"/>
  <c r="V35" i="6"/>
  <c r="V37" i="6"/>
  <c r="V39" i="6"/>
  <c r="V38" i="6"/>
  <c r="V36" i="6"/>
  <c r="R38" i="6"/>
  <c r="R35" i="6"/>
  <c r="R34" i="6"/>
  <c r="R39" i="6"/>
  <c r="R36" i="6"/>
  <c r="R37" i="6"/>
  <c r="H35" i="6"/>
  <c r="H36" i="6"/>
  <c r="H34" i="6"/>
  <c r="H39" i="6"/>
  <c r="H38" i="6"/>
  <c r="H37" i="6"/>
  <c r="W35" i="6"/>
  <c r="W39" i="6"/>
  <c r="W34" i="6"/>
  <c r="W36" i="6"/>
  <c r="W37" i="6"/>
  <c r="W38" i="6"/>
  <c r="AG39" i="6"/>
  <c r="AG36" i="6"/>
  <c r="AG38" i="6"/>
  <c r="AG34" i="6"/>
  <c r="AG37" i="6"/>
  <c r="AG35" i="6"/>
  <c r="S34" i="6"/>
  <c r="S35" i="6"/>
  <c r="S36" i="6"/>
  <c r="S37" i="6"/>
  <c r="S39" i="6"/>
  <c r="S38" i="6"/>
  <c r="O35" i="6"/>
  <c r="O38" i="6"/>
  <c r="O34" i="6"/>
  <c r="O37" i="6"/>
  <c r="O39" i="6"/>
  <c r="O36" i="6"/>
  <c r="T39" i="6"/>
  <c r="T36" i="6"/>
  <c r="T35" i="6"/>
  <c r="T37" i="6"/>
  <c r="T38" i="6"/>
  <c r="T34" i="6"/>
  <c r="G39" i="6"/>
  <c r="G36" i="6"/>
  <c r="G34" i="6"/>
  <c r="G37" i="6"/>
  <c r="G35" i="6"/>
  <c r="G38" i="6"/>
  <c r="P34" i="6"/>
  <c r="P38" i="6"/>
  <c r="P35" i="6"/>
  <c r="P39" i="6"/>
  <c r="P36" i="6"/>
  <c r="P37" i="6"/>
  <c r="W11" i="24"/>
  <c r="N37" i="6"/>
  <c r="N35" i="6"/>
  <c r="N38" i="6"/>
  <c r="N39" i="6"/>
  <c r="N36" i="6"/>
  <c r="N34" i="6"/>
  <c r="K39" i="6"/>
  <c r="K35" i="6"/>
  <c r="K37" i="6"/>
  <c r="K38" i="6"/>
  <c r="K34" i="6"/>
  <c r="K36" i="6"/>
  <c r="AC34" i="6"/>
  <c r="AC36" i="6"/>
  <c r="AC35" i="6"/>
  <c r="AC38" i="6"/>
  <c r="AC37" i="6"/>
  <c r="AC39" i="6"/>
  <c r="I39" i="6"/>
  <c r="I38" i="6"/>
  <c r="I35" i="6"/>
  <c r="I37" i="6"/>
  <c r="I36" i="6"/>
  <c r="I34" i="6"/>
  <c r="L39" i="6"/>
  <c r="L36" i="6"/>
  <c r="L35" i="6"/>
  <c r="L34" i="6"/>
  <c r="L37" i="6"/>
  <c r="L38" i="6"/>
  <c r="AB34" i="6"/>
  <c r="AB35" i="6"/>
  <c r="AB37" i="6"/>
  <c r="AB39" i="6"/>
  <c r="AB36" i="6"/>
  <c r="AB38" i="6"/>
  <c r="AE37" i="6"/>
  <c r="AE39" i="6"/>
  <c r="AE38" i="6"/>
  <c r="AE34" i="6"/>
  <c r="AE35" i="6"/>
  <c r="AE36" i="6"/>
  <c r="D37" i="6"/>
  <c r="D35" i="6"/>
  <c r="D36" i="6"/>
  <c r="D38" i="6"/>
  <c r="D34" i="6"/>
  <c r="D39" i="6"/>
  <c r="AF37" i="6"/>
  <c r="AF36" i="6"/>
  <c r="AF38" i="6"/>
  <c r="AF34" i="6"/>
  <c r="AF35" i="6"/>
  <c r="AF39" i="6"/>
  <c r="X35" i="6"/>
  <c r="X37" i="6"/>
  <c r="X39" i="6"/>
  <c r="X36" i="6"/>
  <c r="X38" i="6"/>
  <c r="X34" i="6"/>
  <c r="J38" i="6"/>
  <c r="J35" i="6"/>
  <c r="J37" i="6"/>
  <c r="J39" i="6"/>
  <c r="J36" i="6"/>
  <c r="J34" i="6"/>
  <c r="U36" i="6"/>
  <c r="U38" i="6"/>
  <c r="U34" i="6"/>
  <c r="U37" i="6"/>
  <c r="U35" i="6"/>
  <c r="U39" i="6"/>
  <c r="M37" i="6"/>
  <c r="M39" i="6"/>
  <c r="M38" i="6"/>
  <c r="M34" i="6"/>
  <c r="M36" i="6"/>
  <c r="M35" i="6"/>
  <c r="Y37" i="6"/>
  <c r="Y36" i="6"/>
  <c r="Y35" i="6"/>
  <c r="Y39" i="6"/>
  <c r="Y34" i="6"/>
  <c r="Y38" i="6"/>
  <c r="AD34" i="6"/>
  <c r="AD35" i="6"/>
  <c r="AD36" i="6"/>
  <c r="AD37" i="6"/>
  <c r="AD39" i="6"/>
  <c r="AD38" i="6"/>
  <c r="Z13" i="24"/>
  <c r="X14" i="24"/>
  <c r="Z12" i="24"/>
  <c r="X13" i="24"/>
  <c r="Y11" i="24"/>
  <c r="Z14" i="24"/>
  <c r="X15" i="24"/>
  <c r="E10" i="20"/>
  <c r="E11" i="20"/>
  <c r="E12" i="20"/>
  <c r="K31" i="19"/>
  <c r="G31" i="19"/>
  <c r="L31" i="19"/>
  <c r="E48" i="14"/>
  <c r="L33" i="19"/>
  <c r="K33" i="19"/>
  <c r="G33" i="19"/>
  <c r="I11" i="14"/>
  <c r="E142" i="14"/>
  <c r="L34" i="19"/>
  <c r="K34" i="19"/>
  <c r="G34" i="19"/>
  <c r="K32" i="19"/>
  <c r="G32" i="19"/>
  <c r="L32" i="19"/>
  <c r="K14" i="14"/>
  <c r="K12" i="14"/>
  <c r="I14" i="14"/>
  <c r="K13" i="14"/>
  <c r="I20" i="14"/>
  <c r="K19" i="14"/>
  <c r="I15" i="14"/>
  <c r="E16" i="20"/>
  <c r="E17" i="20"/>
  <c r="E19" i="20"/>
  <c r="E14" i="20"/>
  <c r="K20" i="14"/>
  <c r="E18" i="20"/>
  <c r="I10" i="14"/>
  <c r="K10" i="14"/>
  <c r="K16" i="14"/>
  <c r="K17" i="14"/>
  <c r="I19" i="14"/>
  <c r="I17" i="14"/>
  <c r="I12" i="14"/>
  <c r="E13" i="20"/>
  <c r="E15" i="20"/>
  <c r="I13" i="14"/>
  <c r="K18" i="14"/>
  <c r="I16" i="14"/>
  <c r="K11" i="14"/>
  <c r="I18" i="14"/>
  <c r="G17" i="20"/>
  <c r="H19" i="20"/>
  <c r="H16" i="20"/>
  <c r="H31" i="20"/>
  <c r="I31" i="20" s="1"/>
  <c r="G15" i="20"/>
  <c r="G16" i="20"/>
  <c r="H28" i="20"/>
  <c r="I28" i="20" s="1"/>
  <c r="G11" i="20"/>
  <c r="H24" i="20"/>
  <c r="I24" i="20" s="1"/>
  <c r="G14" i="20"/>
  <c r="H23" i="20"/>
  <c r="I23" i="20" s="1"/>
  <c r="H21" i="20"/>
  <c r="I21" i="20" s="1"/>
  <c r="H37" i="20"/>
  <c r="H11" i="20"/>
  <c r="G19" i="20"/>
  <c r="H36" i="20"/>
  <c r="G13" i="20"/>
  <c r="H20" i="20"/>
  <c r="I20" i="20" s="1"/>
  <c r="H27" i="20"/>
  <c r="I27" i="20" s="1"/>
  <c r="H13" i="20"/>
  <c r="H32" i="20"/>
  <c r="I32" i="20" s="1"/>
  <c r="H26" i="20"/>
  <c r="I26" i="20" s="1"/>
  <c r="H29" i="20"/>
  <c r="I29" i="20" s="1"/>
  <c r="H15" i="20"/>
  <c r="H12" i="20"/>
  <c r="H33" i="20"/>
  <c r="I33" i="20" s="1"/>
  <c r="H38" i="20"/>
  <c r="H17" i="20"/>
  <c r="G12" i="20"/>
  <c r="H30" i="20"/>
  <c r="I30" i="20" s="1"/>
  <c r="G18" i="20"/>
  <c r="H10" i="20"/>
  <c r="H14" i="20"/>
  <c r="H35" i="20"/>
  <c r="H22" i="20"/>
  <c r="I22" i="20" s="1"/>
  <c r="H25" i="20"/>
  <c r="I25" i="20" s="1"/>
  <c r="H18" i="20"/>
  <c r="G10" i="20"/>
  <c r="H9" i="20"/>
  <c r="H34" i="20"/>
  <c r="G9" i="20"/>
  <c r="K20" i="24"/>
  <c r="B41" i="5"/>
  <c r="G143" i="14" s="1"/>
  <c r="E8" i="24"/>
  <c r="K8" i="24" s="1"/>
  <c r="K10" i="24"/>
  <c r="B5" i="19"/>
  <c r="B48" i="20"/>
  <c r="K4" i="20"/>
  <c r="Q25" i="6" l="1"/>
  <c r="L34" i="14"/>
  <c r="L30" i="19" s="1"/>
  <c r="L31" i="14"/>
  <c r="M31" i="14" s="1"/>
  <c r="L30" i="14"/>
  <c r="M30" i="14" s="1"/>
  <c r="L32" i="14"/>
  <c r="L28" i="19" s="1"/>
  <c r="L33" i="14"/>
  <c r="L29" i="19" s="1"/>
  <c r="K28" i="19"/>
  <c r="L29" i="14"/>
  <c r="L25" i="19" s="1"/>
  <c r="K25" i="19"/>
  <c r="K22" i="19"/>
  <c r="K24" i="19"/>
  <c r="L26" i="14"/>
  <c r="L22" i="19" s="1"/>
  <c r="L28" i="14"/>
  <c r="L24" i="19" s="1"/>
  <c r="L27" i="14"/>
  <c r="L23" i="19" s="1"/>
  <c r="K23" i="19"/>
  <c r="K21" i="19"/>
  <c r="L25" i="14"/>
  <c r="L21" i="19" s="1"/>
  <c r="L23" i="14"/>
  <c r="L19" i="19" s="1"/>
  <c r="L22" i="14"/>
  <c r="L18" i="19" s="1"/>
  <c r="K18" i="19"/>
  <c r="Y8" i="24"/>
  <c r="K20" i="19"/>
  <c r="L24" i="14"/>
  <c r="L20" i="19" s="1"/>
  <c r="K17" i="19"/>
  <c r="L21" i="14"/>
  <c r="L17" i="19" s="1"/>
  <c r="L20" i="14"/>
  <c r="M20" i="14" s="1"/>
  <c r="L19" i="14"/>
  <c r="L15" i="19" s="1"/>
  <c r="H78" i="6"/>
  <c r="G78" i="6"/>
  <c r="E143" i="14"/>
  <c r="L143" i="14" s="1"/>
  <c r="F79" i="6"/>
  <c r="P23" i="6"/>
  <c r="Z14" i="6"/>
  <c r="W23" i="6"/>
  <c r="T23" i="6"/>
  <c r="T25" i="6" s="1"/>
  <c r="Y23" i="6"/>
  <c r="U23" i="6"/>
  <c r="S23" i="6"/>
  <c r="S25" i="6" s="1"/>
  <c r="R23" i="6"/>
  <c r="R25" i="6" s="1"/>
  <c r="V23" i="6"/>
  <c r="X23" i="6"/>
  <c r="Z22" i="6"/>
  <c r="O54" i="6"/>
  <c r="O53" i="6"/>
  <c r="O58" i="6"/>
  <c r="O57" i="6"/>
  <c r="O55" i="6"/>
  <c r="O56" i="6"/>
  <c r="W53" i="6"/>
  <c r="W56" i="6"/>
  <c r="W55" i="6"/>
  <c r="W54" i="6"/>
  <c r="W57" i="6"/>
  <c r="W58" i="6"/>
  <c r="N55" i="6"/>
  <c r="N53" i="6"/>
  <c r="N58" i="6"/>
  <c r="N57" i="6"/>
  <c r="N56" i="6"/>
  <c r="N54" i="6"/>
  <c r="G55" i="6"/>
  <c r="G54" i="6"/>
  <c r="G56" i="6"/>
  <c r="G53" i="6"/>
  <c r="G58" i="6"/>
  <c r="G57" i="6"/>
  <c r="Z56" i="6"/>
  <c r="Z55" i="6"/>
  <c r="Z54" i="6"/>
  <c r="Z57" i="6"/>
  <c r="Z53" i="6"/>
  <c r="Z58" i="6"/>
  <c r="F54" i="6"/>
  <c r="F56" i="6"/>
  <c r="F55" i="6"/>
  <c r="F53" i="6"/>
  <c r="F58" i="6"/>
  <c r="F57" i="6"/>
  <c r="I55" i="6"/>
  <c r="I57" i="6"/>
  <c r="I53" i="6"/>
  <c r="I56" i="6"/>
  <c r="I54" i="6"/>
  <c r="I58" i="6"/>
  <c r="Y53" i="6"/>
  <c r="Y57" i="6"/>
  <c r="Y56" i="6"/>
  <c r="Y55" i="6"/>
  <c r="Y54" i="6"/>
  <c r="Y58" i="6"/>
  <c r="T53" i="6"/>
  <c r="T57" i="6"/>
  <c r="T54" i="6"/>
  <c r="T58" i="6"/>
  <c r="T55" i="6"/>
  <c r="T56" i="6"/>
  <c r="Q57" i="6"/>
  <c r="Q53" i="6"/>
  <c r="Q54" i="6"/>
  <c r="Q58" i="6"/>
  <c r="Q55" i="6"/>
  <c r="Q56" i="6"/>
  <c r="P55" i="6"/>
  <c r="P54" i="6"/>
  <c r="P53" i="6"/>
  <c r="P57" i="6"/>
  <c r="P56" i="6"/>
  <c r="P58" i="6"/>
  <c r="V55" i="6"/>
  <c r="V53" i="6"/>
  <c r="V58" i="6"/>
  <c r="V56" i="6"/>
  <c r="V54" i="6"/>
  <c r="V57" i="6"/>
  <c r="D56" i="6"/>
  <c r="D53" i="6"/>
  <c r="D54" i="6"/>
  <c r="D55" i="6"/>
  <c r="D58" i="6"/>
  <c r="D57" i="6"/>
  <c r="AB53" i="6"/>
  <c r="AB56" i="6"/>
  <c r="AB55" i="6"/>
  <c r="AB58" i="6"/>
  <c r="AB57" i="6"/>
  <c r="AB54" i="6"/>
  <c r="AG58" i="6"/>
  <c r="AG53" i="6"/>
  <c r="AG56" i="6"/>
  <c r="AG54" i="6"/>
  <c r="AG57" i="6"/>
  <c r="AG55" i="6"/>
  <c r="AF57" i="6"/>
  <c r="AF56" i="6"/>
  <c r="AF54" i="6"/>
  <c r="AF58" i="6"/>
  <c r="AF53" i="6"/>
  <c r="AF55" i="6"/>
  <c r="AE54" i="6"/>
  <c r="AE53" i="6"/>
  <c r="AE58" i="6"/>
  <c r="AE57" i="6"/>
  <c r="AE55" i="6"/>
  <c r="AE56" i="6"/>
  <c r="U56" i="6"/>
  <c r="U55" i="6"/>
  <c r="U54" i="6"/>
  <c r="U53" i="6"/>
  <c r="U58" i="6"/>
  <c r="U57" i="6"/>
  <c r="J56" i="6"/>
  <c r="J53" i="6"/>
  <c r="J57" i="6"/>
  <c r="J55" i="6"/>
  <c r="J58" i="6"/>
  <c r="J54" i="6"/>
  <c r="S54" i="6"/>
  <c r="S55" i="6"/>
  <c r="S53" i="6"/>
  <c r="S56" i="6"/>
  <c r="S58" i="6"/>
  <c r="S57" i="6"/>
  <c r="AC53" i="6"/>
  <c r="AC57" i="6"/>
  <c r="AC58" i="6"/>
  <c r="AC56" i="6"/>
  <c r="AC55" i="6"/>
  <c r="AC54" i="6"/>
  <c r="H57" i="6"/>
  <c r="H56" i="6"/>
  <c r="H55" i="6"/>
  <c r="H54" i="6"/>
  <c r="H53" i="6"/>
  <c r="H58" i="6"/>
  <c r="M56" i="6"/>
  <c r="M55" i="6"/>
  <c r="M54" i="6"/>
  <c r="M53" i="6"/>
  <c r="M58" i="6"/>
  <c r="M57" i="6"/>
  <c r="X57" i="6"/>
  <c r="X56" i="6"/>
  <c r="X58" i="6"/>
  <c r="X55" i="6"/>
  <c r="X54" i="6"/>
  <c r="X53" i="6"/>
  <c r="L53" i="6"/>
  <c r="L57" i="6"/>
  <c r="L58" i="6"/>
  <c r="L56" i="6"/>
  <c r="L55" i="6"/>
  <c r="L54" i="6"/>
  <c r="R55" i="6"/>
  <c r="R53" i="6"/>
  <c r="R58" i="6"/>
  <c r="R56" i="6"/>
  <c r="R54" i="6"/>
  <c r="R57" i="6"/>
  <c r="E56" i="6"/>
  <c r="E58" i="6"/>
  <c r="E53" i="6"/>
  <c r="E57" i="6"/>
  <c r="E55" i="6"/>
  <c r="E54" i="6"/>
  <c r="AD57" i="6"/>
  <c r="AD58" i="6"/>
  <c r="AD56" i="6"/>
  <c r="AD53" i="6"/>
  <c r="AD55" i="6"/>
  <c r="AD54" i="6"/>
  <c r="AA58" i="6"/>
  <c r="AA57" i="6"/>
  <c r="AA55" i="6"/>
  <c r="AA56" i="6"/>
  <c r="AA54" i="6"/>
  <c r="AA53" i="6"/>
  <c r="K58" i="6"/>
  <c r="K56" i="6"/>
  <c r="K57" i="6"/>
  <c r="K55" i="6"/>
  <c r="K54" i="6"/>
  <c r="K53" i="6"/>
  <c r="I77" i="14"/>
  <c r="J77" i="14"/>
  <c r="K15" i="19"/>
  <c r="K6" i="19"/>
  <c r="K7" i="19"/>
  <c r="K12" i="19"/>
  <c r="K16" i="19"/>
  <c r="K14" i="19"/>
  <c r="K13" i="19"/>
  <c r="K11" i="19"/>
  <c r="K10" i="19"/>
  <c r="Z8" i="24"/>
  <c r="AD43" i="6"/>
  <c r="Y44" i="6"/>
  <c r="M46" i="6"/>
  <c r="U43" i="6"/>
  <c r="AF46" i="6"/>
  <c r="D45" i="6"/>
  <c r="AE46" i="6"/>
  <c r="I44" i="6"/>
  <c r="AC46" i="6"/>
  <c r="AC43" i="6"/>
  <c r="K46" i="6"/>
  <c r="N45" i="6"/>
  <c r="N46" i="6"/>
  <c r="G47" i="6"/>
  <c r="T46" i="6"/>
  <c r="O45" i="6"/>
  <c r="S46" i="6"/>
  <c r="AG44" i="6"/>
  <c r="W45" i="6"/>
  <c r="V45" i="6"/>
  <c r="Q45" i="6"/>
  <c r="F44" i="6"/>
  <c r="F45" i="6"/>
  <c r="AA47" i="6"/>
  <c r="E44" i="6"/>
  <c r="Z45" i="6"/>
  <c r="AD46" i="6"/>
  <c r="Y47" i="6"/>
  <c r="Y45" i="6"/>
  <c r="M43" i="6"/>
  <c r="U47" i="6"/>
  <c r="X43" i="6"/>
  <c r="X46" i="6"/>
  <c r="AF43" i="6"/>
  <c r="D44" i="6"/>
  <c r="AE43" i="6"/>
  <c r="AB47" i="6"/>
  <c r="AB44" i="6"/>
  <c r="L43" i="6"/>
  <c r="I43" i="6"/>
  <c r="I47" i="6"/>
  <c r="AC47" i="6"/>
  <c r="K45" i="6"/>
  <c r="K44" i="6"/>
  <c r="P44" i="6"/>
  <c r="G44" i="6"/>
  <c r="T44" i="6"/>
  <c r="O44" i="6"/>
  <c r="S45" i="6"/>
  <c r="AG46" i="6"/>
  <c r="W43" i="6"/>
  <c r="H47" i="6"/>
  <c r="H44" i="6"/>
  <c r="R43" i="6"/>
  <c r="V47" i="6"/>
  <c r="V43" i="6"/>
  <c r="Q43" i="6"/>
  <c r="F47" i="6"/>
  <c r="F46" i="6"/>
  <c r="AA46" i="6"/>
  <c r="E45" i="6"/>
  <c r="E43" i="6"/>
  <c r="Z46" i="6"/>
  <c r="AD45" i="6"/>
  <c r="Y43" i="6"/>
  <c r="Y46" i="6"/>
  <c r="M47" i="6"/>
  <c r="U44" i="6"/>
  <c r="U45" i="6"/>
  <c r="J46" i="6"/>
  <c r="X47" i="6"/>
  <c r="X44" i="6"/>
  <c r="AF47" i="6"/>
  <c r="D43" i="6"/>
  <c r="D46" i="6"/>
  <c r="AE47" i="6"/>
  <c r="AB45" i="6"/>
  <c r="AB43" i="6"/>
  <c r="L44" i="6"/>
  <c r="I45" i="6"/>
  <c r="AC44" i="6"/>
  <c r="K43" i="6"/>
  <c r="N47" i="6"/>
  <c r="P46" i="6"/>
  <c r="P47" i="6"/>
  <c r="G46" i="6"/>
  <c r="T43" i="6"/>
  <c r="T45" i="6"/>
  <c r="O46" i="6"/>
  <c r="S47" i="6"/>
  <c r="S44" i="6"/>
  <c r="AG43" i="6"/>
  <c r="W47" i="6"/>
  <c r="R46" i="6"/>
  <c r="R44" i="6"/>
  <c r="Q47" i="6"/>
  <c r="Q46" i="6"/>
  <c r="AA44" i="6"/>
  <c r="Z44" i="6"/>
  <c r="Z47" i="6"/>
  <c r="M45" i="6"/>
  <c r="J45" i="6"/>
  <c r="J47" i="6"/>
  <c r="AF44" i="6"/>
  <c r="AE44" i="6"/>
  <c r="AB46" i="6"/>
  <c r="L46" i="6"/>
  <c r="G45" i="6"/>
  <c r="O47" i="6"/>
  <c r="AG45" i="6"/>
  <c r="H46" i="6"/>
  <c r="H45" i="6"/>
  <c r="V44" i="6"/>
  <c r="E47" i="6"/>
  <c r="X8" i="24"/>
  <c r="AD47" i="6"/>
  <c r="AD44" i="6"/>
  <c r="M44" i="6"/>
  <c r="U46" i="6"/>
  <c r="J43" i="6"/>
  <c r="J44" i="6"/>
  <c r="X45" i="6"/>
  <c r="AF45" i="6"/>
  <c r="D47" i="6"/>
  <c r="AE45" i="6"/>
  <c r="L47" i="6"/>
  <c r="L45" i="6"/>
  <c r="I46" i="6"/>
  <c r="AC45" i="6"/>
  <c r="K47" i="6"/>
  <c r="N43" i="6"/>
  <c r="N44" i="6"/>
  <c r="P45" i="6"/>
  <c r="P43" i="6"/>
  <c r="G43" i="6"/>
  <c r="T47" i="6"/>
  <c r="O43" i="6"/>
  <c r="S43" i="6"/>
  <c r="AG47" i="6"/>
  <c r="W46" i="6"/>
  <c r="W44" i="6"/>
  <c r="H43" i="6"/>
  <c r="R45" i="6"/>
  <c r="R47" i="6"/>
  <c r="V46" i="6"/>
  <c r="Q44" i="6"/>
  <c r="F43" i="6"/>
  <c r="AA45" i="6"/>
  <c r="AA43" i="6"/>
  <c r="E46" i="6"/>
  <c r="Z43" i="6"/>
  <c r="L10" i="14"/>
  <c r="G5" i="19"/>
  <c r="F37" i="19" s="1"/>
  <c r="I143" i="14"/>
  <c r="L11" i="14"/>
  <c r="L7" i="19" s="1"/>
  <c r="F143" i="14"/>
  <c r="L14" i="14"/>
  <c r="L10" i="19" s="1"/>
  <c r="L12" i="14"/>
  <c r="M12" i="14" s="1"/>
  <c r="K8" i="19"/>
  <c r="L13" i="14"/>
  <c r="M13" i="14" s="1"/>
  <c r="K9" i="19"/>
  <c r="L16" i="14"/>
  <c r="M16" i="14" s="1"/>
  <c r="L17" i="14"/>
  <c r="M17" i="14" s="1"/>
  <c r="L18" i="14"/>
  <c r="M18" i="14" s="1"/>
  <c r="I9" i="20"/>
  <c r="I15" i="20"/>
  <c r="L34" i="20"/>
  <c r="L18" i="20"/>
  <c r="L31" i="20"/>
  <c r="M31" i="20" s="1"/>
  <c r="L35" i="20"/>
  <c r="K18" i="20"/>
  <c r="L19" i="20"/>
  <c r="K19" i="20"/>
  <c r="K10" i="20"/>
  <c r="L26" i="20"/>
  <c r="M26" i="20" s="1"/>
  <c r="K11" i="20"/>
  <c r="K15" i="20"/>
  <c r="K14" i="20"/>
  <c r="L20" i="20"/>
  <c r="M20" i="20" s="1"/>
  <c r="L10" i="20"/>
  <c r="K16" i="20"/>
  <c r="K9" i="20"/>
  <c r="L15" i="20"/>
  <c r="L27" i="20"/>
  <c r="M27" i="20" s="1"/>
  <c r="L23" i="20"/>
  <c r="M23" i="20" s="1"/>
  <c r="L28" i="20"/>
  <c r="M28" i="20" s="1"/>
  <c r="L22" i="20"/>
  <c r="M22" i="20" s="1"/>
  <c r="L36" i="20"/>
  <c r="L13" i="20"/>
  <c r="L11" i="20"/>
  <c r="L9" i="20"/>
  <c r="L32" i="20"/>
  <c r="M32" i="20" s="1"/>
  <c r="L16" i="20"/>
  <c r="L24" i="20"/>
  <c r="M24" i="20" s="1"/>
  <c r="L21" i="20"/>
  <c r="M21" i="20" s="1"/>
  <c r="L37" i="20"/>
  <c r="K13" i="20"/>
  <c r="L33" i="20"/>
  <c r="M33" i="20" s="1"/>
  <c r="L30" i="20"/>
  <c r="M30" i="20" s="1"/>
  <c r="L38" i="20"/>
  <c r="K17" i="20"/>
  <c r="L14" i="20"/>
  <c r="L17" i="20"/>
  <c r="K12" i="20"/>
  <c r="L29" i="20"/>
  <c r="M29" i="20" s="1"/>
  <c r="L25" i="20"/>
  <c r="M25" i="20" s="1"/>
  <c r="L12" i="20"/>
  <c r="I12" i="20"/>
  <c r="I19" i="20"/>
  <c r="I14" i="20"/>
  <c r="I18" i="20"/>
  <c r="I17" i="20"/>
  <c r="I11" i="20"/>
  <c r="I16" i="20"/>
  <c r="I10" i="20"/>
  <c r="I13" i="20"/>
  <c r="B42" i="5"/>
  <c r="D10" i="19"/>
  <c r="E10" i="19"/>
  <c r="C10" i="19"/>
  <c r="D18" i="19"/>
  <c r="E18" i="19"/>
  <c r="C18" i="19"/>
  <c r="D26" i="19"/>
  <c r="E26" i="19"/>
  <c r="C26" i="19"/>
  <c r="D34" i="19"/>
  <c r="C34" i="19"/>
  <c r="E34" i="19"/>
  <c r="E19" i="19"/>
  <c r="C19" i="19"/>
  <c r="D19" i="19"/>
  <c r="C8" i="19"/>
  <c r="D8" i="19"/>
  <c r="E8" i="19"/>
  <c r="C16" i="19"/>
  <c r="D16" i="19"/>
  <c r="E16" i="19"/>
  <c r="C24" i="19"/>
  <c r="D24" i="19"/>
  <c r="E24" i="19"/>
  <c r="C32" i="19"/>
  <c r="D32" i="19"/>
  <c r="E32" i="19"/>
  <c r="C9" i="19"/>
  <c r="D9" i="19"/>
  <c r="E9" i="19"/>
  <c r="C17" i="19"/>
  <c r="D17" i="19"/>
  <c r="E17" i="19"/>
  <c r="C25" i="19"/>
  <c r="D25" i="19"/>
  <c r="E25" i="19"/>
  <c r="C33" i="19"/>
  <c r="D33" i="19"/>
  <c r="E33" i="19"/>
  <c r="E15" i="19"/>
  <c r="C15" i="19"/>
  <c r="D15" i="19"/>
  <c r="E31" i="19"/>
  <c r="C31" i="19"/>
  <c r="D31" i="19"/>
  <c r="D14" i="19"/>
  <c r="E14" i="19"/>
  <c r="C14" i="19"/>
  <c r="D22" i="19"/>
  <c r="E22" i="19"/>
  <c r="C22" i="19"/>
  <c r="D30" i="19"/>
  <c r="E30" i="19"/>
  <c r="C30" i="19"/>
  <c r="E11" i="19"/>
  <c r="C11" i="19"/>
  <c r="D11" i="19"/>
  <c r="E27" i="19"/>
  <c r="C27" i="19"/>
  <c r="D27" i="19"/>
  <c r="C12" i="19"/>
  <c r="D12" i="19"/>
  <c r="E12" i="19"/>
  <c r="C20" i="19"/>
  <c r="D20" i="19"/>
  <c r="E20" i="19"/>
  <c r="C28" i="19"/>
  <c r="D28" i="19"/>
  <c r="E28" i="19"/>
  <c r="C13" i="19"/>
  <c r="D13" i="19"/>
  <c r="E13" i="19"/>
  <c r="C21" i="19"/>
  <c r="D21" i="19"/>
  <c r="E21" i="19"/>
  <c r="C29" i="19"/>
  <c r="D29" i="19"/>
  <c r="E29" i="19"/>
  <c r="E7" i="19"/>
  <c r="C7" i="19"/>
  <c r="D7" i="19"/>
  <c r="E23" i="19"/>
  <c r="C23" i="19"/>
  <c r="D23" i="19"/>
  <c r="H34" i="19"/>
  <c r="I34" i="19" s="1"/>
  <c r="O4" i="20"/>
  <c r="L27" i="19" l="1"/>
  <c r="M34" i="14"/>
  <c r="M19" i="14"/>
  <c r="L26" i="19"/>
  <c r="M32" i="14"/>
  <c r="M33" i="14"/>
  <c r="M28" i="14"/>
  <c r="M25" i="14"/>
  <c r="M27" i="14"/>
  <c r="M24" i="14"/>
  <c r="M29" i="14"/>
  <c r="M26" i="14"/>
  <c r="M23" i="14"/>
  <c r="M22" i="14"/>
  <c r="M21" i="14"/>
  <c r="L16" i="19"/>
  <c r="C144" i="14"/>
  <c r="H144" i="14" s="1"/>
  <c r="AI55" i="6"/>
  <c r="I64" i="6" s="1"/>
  <c r="H79" i="6"/>
  <c r="N19" i="15" s="1"/>
  <c r="G79" i="6"/>
  <c r="P25" i="6"/>
  <c r="Z23" i="6"/>
  <c r="M10" i="14"/>
  <c r="M14" i="14"/>
  <c r="M11" i="14"/>
  <c r="S50" i="6"/>
  <c r="M50" i="6"/>
  <c r="H50" i="6"/>
  <c r="K50" i="6"/>
  <c r="P50" i="6"/>
  <c r="E50" i="6"/>
  <c r="J50" i="6"/>
  <c r="Y50" i="6"/>
  <c r="Q50" i="6"/>
  <c r="AF50" i="6"/>
  <c r="AE50" i="6"/>
  <c r="X50" i="6"/>
  <c r="AC50" i="6"/>
  <c r="U50" i="6"/>
  <c r="Z50" i="6"/>
  <c r="AA50" i="6"/>
  <c r="O50" i="6"/>
  <c r="N50" i="6"/>
  <c r="T50" i="6"/>
  <c r="W50" i="6"/>
  <c r="L50" i="6"/>
  <c r="AD50" i="6"/>
  <c r="F50" i="6"/>
  <c r="G50" i="6"/>
  <c r="AG50" i="6"/>
  <c r="AB50" i="6"/>
  <c r="D50" i="6"/>
  <c r="V50" i="6"/>
  <c r="R50" i="6"/>
  <c r="I50" i="6"/>
  <c r="L6" i="19"/>
  <c r="L8" i="19"/>
  <c r="L9" i="19"/>
  <c r="L14" i="19"/>
  <c r="L12" i="19"/>
  <c r="L13" i="19"/>
  <c r="M13" i="20"/>
  <c r="M15" i="20"/>
  <c r="M11" i="20"/>
  <c r="M10" i="20"/>
  <c r="M19" i="20"/>
  <c r="M12" i="20"/>
  <c r="M9" i="20"/>
  <c r="M16" i="20"/>
  <c r="M17" i="20"/>
  <c r="M18" i="20"/>
  <c r="M14" i="20"/>
  <c r="P21" i="20"/>
  <c r="Q21" i="20" s="1"/>
  <c r="O14" i="20"/>
  <c r="O15" i="20"/>
  <c r="P18" i="20"/>
  <c r="O19" i="20"/>
  <c r="O13" i="20"/>
  <c r="O17" i="20"/>
  <c r="P10" i="20"/>
  <c r="O18" i="20"/>
  <c r="P25" i="20"/>
  <c r="Q25" i="20" s="1"/>
  <c r="P16" i="20"/>
  <c r="P29" i="20"/>
  <c r="Q29" i="20" s="1"/>
  <c r="P19" i="20"/>
  <c r="P38" i="20"/>
  <c r="P17" i="20"/>
  <c r="P32" i="20"/>
  <c r="Q32" i="20" s="1"/>
  <c r="P24" i="20"/>
  <c r="Q24" i="20" s="1"/>
  <c r="O16" i="20"/>
  <c r="P14" i="20"/>
  <c r="O10" i="20"/>
  <c r="P22" i="20"/>
  <c r="Q22" i="20" s="1"/>
  <c r="P9" i="20"/>
  <c r="O11" i="20"/>
  <c r="O12" i="20"/>
  <c r="P35" i="20"/>
  <c r="P23" i="20"/>
  <c r="Q23" i="20" s="1"/>
  <c r="P20" i="20"/>
  <c r="Q20" i="20" s="1"/>
  <c r="P11" i="20"/>
  <c r="P15" i="20"/>
  <c r="P30" i="20"/>
  <c r="Q30" i="20" s="1"/>
  <c r="P33" i="20"/>
  <c r="Q33" i="20" s="1"/>
  <c r="P12" i="20"/>
  <c r="P37" i="20"/>
  <c r="P27" i="20"/>
  <c r="Q27" i="20" s="1"/>
  <c r="P13" i="20"/>
  <c r="P36" i="20"/>
  <c r="P31" i="20"/>
  <c r="Q31" i="20" s="1"/>
  <c r="P26" i="20"/>
  <c r="Q26" i="20" s="1"/>
  <c r="O9" i="20"/>
  <c r="P34" i="20"/>
  <c r="P28" i="20"/>
  <c r="Q28" i="20" s="1"/>
  <c r="B43" i="5"/>
  <c r="S4" i="20"/>
  <c r="N18" i="20" l="1"/>
  <c r="M144" i="14"/>
  <c r="W64" i="6"/>
  <c r="AG64" i="6"/>
  <c r="Q64" i="6"/>
  <c r="T64" i="6"/>
  <c r="D144" i="14"/>
  <c r="AC64" i="6"/>
  <c r="AD64" i="6"/>
  <c r="C64" i="6"/>
  <c r="Z64" i="6"/>
  <c r="U64" i="6"/>
  <c r="AB64" i="6"/>
  <c r="X64" i="6"/>
  <c r="S64" i="6"/>
  <c r="O64" i="6"/>
  <c r="P64" i="6"/>
  <c r="L64" i="6"/>
  <c r="M64" i="6"/>
  <c r="V64" i="6"/>
  <c r="J64" i="6"/>
  <c r="N64" i="6"/>
  <c r="AE64" i="6"/>
  <c r="Y64" i="6"/>
  <c r="K64" i="6"/>
  <c r="AF64" i="6"/>
  <c r="R64" i="6"/>
  <c r="AA64" i="6"/>
  <c r="E64" i="6"/>
  <c r="H64" i="6"/>
  <c r="G64" i="6"/>
  <c r="F64" i="6"/>
  <c r="D64" i="6"/>
  <c r="C76" i="6"/>
  <c r="E76" i="6" s="1"/>
  <c r="I145" i="14"/>
  <c r="F145" i="14"/>
  <c r="Q9" i="20"/>
  <c r="Q12" i="20"/>
  <c r="Q14" i="20"/>
  <c r="T23" i="20"/>
  <c r="U23" i="20" s="1"/>
  <c r="S15" i="20"/>
  <c r="S19" i="20"/>
  <c r="T18" i="20"/>
  <c r="S10" i="20"/>
  <c r="T9" i="20"/>
  <c r="T25" i="20"/>
  <c r="U25" i="20" s="1"/>
  <c r="T10" i="20"/>
  <c r="S18" i="20"/>
  <c r="S14" i="20"/>
  <c r="S9" i="20"/>
  <c r="T38" i="20"/>
  <c r="T32" i="20"/>
  <c r="U32" i="20" s="1"/>
  <c r="T20" i="20"/>
  <c r="U20" i="20" s="1"/>
  <c r="T19" i="20"/>
  <c r="T30" i="20"/>
  <c r="U30" i="20" s="1"/>
  <c r="T11" i="20"/>
  <c r="T14" i="20"/>
  <c r="T12" i="20"/>
  <c r="T26" i="20"/>
  <c r="U26" i="20" s="1"/>
  <c r="T27" i="20"/>
  <c r="U27" i="20" s="1"/>
  <c r="T16" i="20"/>
  <c r="T31" i="20"/>
  <c r="U31" i="20" s="1"/>
  <c r="T17" i="20"/>
  <c r="T15" i="20"/>
  <c r="S12" i="20"/>
  <c r="T22" i="20"/>
  <c r="U22" i="20" s="1"/>
  <c r="T21" i="20"/>
  <c r="U21" i="20" s="1"/>
  <c r="S13" i="20"/>
  <c r="T35" i="20"/>
  <c r="T36" i="20"/>
  <c r="T33" i="20"/>
  <c r="U33" i="20" s="1"/>
  <c r="T13" i="20"/>
  <c r="T34" i="20"/>
  <c r="T29" i="20"/>
  <c r="U29" i="20" s="1"/>
  <c r="T37" i="20"/>
  <c r="S11" i="20"/>
  <c r="T24" i="20"/>
  <c r="U24" i="20" s="1"/>
  <c r="S17" i="20"/>
  <c r="S16" i="20"/>
  <c r="T28" i="20"/>
  <c r="U28" i="20" s="1"/>
  <c r="Q15" i="20"/>
  <c r="Q13" i="20"/>
  <c r="Q10" i="20"/>
  <c r="Q18" i="20"/>
  <c r="Q16" i="20"/>
  <c r="Q17" i="20"/>
  <c r="Q19" i="20"/>
  <c r="Q11" i="20"/>
  <c r="B44" i="5"/>
  <c r="F146" i="14" s="1"/>
  <c r="M39" i="20"/>
  <c r="K5" i="20"/>
  <c r="N17" i="20" s="1"/>
  <c r="W4" i="20"/>
  <c r="N9" i="20" l="1"/>
  <c r="N10" i="20"/>
  <c r="N8" i="20"/>
  <c r="N24" i="20"/>
  <c r="N32" i="20"/>
  <c r="N30" i="20"/>
  <c r="N26" i="20"/>
  <c r="N28" i="20"/>
  <c r="N29" i="20"/>
  <c r="N27" i="20"/>
  <c r="N21" i="20"/>
  <c r="N25" i="20"/>
  <c r="N23" i="20"/>
  <c r="N22" i="20"/>
  <c r="N33" i="20"/>
  <c r="N31" i="20"/>
  <c r="N20" i="20"/>
  <c r="N14" i="20"/>
  <c r="N16" i="20"/>
  <c r="N13" i="20"/>
  <c r="N15" i="20"/>
  <c r="N11" i="20"/>
  <c r="N19" i="20"/>
  <c r="N12" i="20"/>
  <c r="K146" i="14"/>
  <c r="E146" i="14"/>
  <c r="U18" i="20"/>
  <c r="U12" i="20"/>
  <c r="U13" i="20"/>
  <c r="U11" i="20"/>
  <c r="U9" i="20"/>
  <c r="U17" i="20"/>
  <c r="U10" i="20"/>
  <c r="U14" i="20"/>
  <c r="U15" i="20"/>
  <c r="X13" i="20"/>
  <c r="X11" i="20"/>
  <c r="X23" i="20"/>
  <c r="Y23" i="20" s="1"/>
  <c r="X22" i="20"/>
  <c r="Y22" i="20" s="1"/>
  <c r="X18" i="20"/>
  <c r="X16" i="20"/>
  <c r="W13" i="20"/>
  <c r="W19" i="20"/>
  <c r="X32" i="20"/>
  <c r="Y32" i="20" s="1"/>
  <c r="X15" i="20"/>
  <c r="X9" i="20"/>
  <c r="X10" i="20"/>
  <c r="X25" i="20"/>
  <c r="Y25" i="20" s="1"/>
  <c r="X37" i="20"/>
  <c r="W10" i="20"/>
  <c r="X27" i="20"/>
  <c r="Y27" i="20" s="1"/>
  <c r="X20" i="20"/>
  <c r="Y20" i="20" s="1"/>
  <c r="X33" i="20"/>
  <c r="Y33" i="20" s="1"/>
  <c r="X31" i="20"/>
  <c r="Y31" i="20" s="1"/>
  <c r="X21" i="20"/>
  <c r="Y21" i="20" s="1"/>
  <c r="W12" i="20"/>
  <c r="X30" i="20"/>
  <c r="Y30" i="20" s="1"/>
  <c r="W17" i="20"/>
  <c r="X26" i="20"/>
  <c r="Y26" i="20" s="1"/>
  <c r="X19" i="20"/>
  <c r="X24" i="20"/>
  <c r="Y24" i="20" s="1"/>
  <c r="X34" i="20"/>
  <c r="W14" i="20"/>
  <c r="W15" i="20"/>
  <c r="X36" i="20"/>
  <c r="X35" i="20"/>
  <c r="X29" i="20"/>
  <c r="Y29" i="20" s="1"/>
  <c r="X28" i="20"/>
  <c r="Y28" i="20" s="1"/>
  <c r="W11" i="20"/>
  <c r="W16" i="20"/>
  <c r="X38" i="20"/>
  <c r="X17" i="20"/>
  <c r="X14" i="20"/>
  <c r="X12" i="20"/>
  <c r="W9" i="20"/>
  <c r="W18" i="20"/>
  <c r="U16" i="20"/>
  <c r="U19" i="20"/>
  <c r="B45" i="5"/>
  <c r="N39" i="20"/>
  <c r="U8" i="20"/>
  <c r="C57" i="6" s="1"/>
  <c r="AI57" i="6" s="1"/>
  <c r="V17" i="20" l="1"/>
  <c r="V15" i="20"/>
  <c r="V18" i="20"/>
  <c r="V14" i="20"/>
  <c r="I147" i="14"/>
  <c r="K66" i="6"/>
  <c r="X66" i="6"/>
  <c r="AE66" i="6"/>
  <c r="Z66" i="6"/>
  <c r="AC66" i="6"/>
  <c r="AG66" i="6"/>
  <c r="U66" i="6"/>
  <c r="V66" i="6"/>
  <c r="AD66" i="6"/>
  <c r="AB66" i="6"/>
  <c r="W66" i="6"/>
  <c r="I66" i="6"/>
  <c r="Y66" i="6"/>
  <c r="S66" i="6"/>
  <c r="AA66" i="6"/>
  <c r="T66" i="6"/>
  <c r="P66" i="6"/>
  <c r="O66" i="6"/>
  <c r="R66" i="6"/>
  <c r="N66" i="6"/>
  <c r="J66" i="6"/>
  <c r="AF66" i="6"/>
  <c r="M66" i="6"/>
  <c r="Q66" i="6"/>
  <c r="L66" i="6"/>
  <c r="C78" i="6"/>
  <c r="E78" i="6" s="1"/>
  <c r="K147" i="14"/>
  <c r="G147" i="14"/>
  <c r="Y13" i="20"/>
  <c r="Y18" i="20"/>
  <c r="Y12" i="20"/>
  <c r="Y9" i="20"/>
  <c r="Y10" i="20"/>
  <c r="Y19" i="20"/>
  <c r="Y14" i="20"/>
  <c r="Y17" i="20"/>
  <c r="Y16" i="20"/>
  <c r="Y15" i="20"/>
  <c r="Y11" i="20"/>
  <c r="B46" i="5"/>
  <c r="U39" i="20"/>
  <c r="S5" i="20"/>
  <c r="V12" i="20" s="1"/>
  <c r="V16" i="20" l="1"/>
  <c r="V10" i="20"/>
  <c r="V9" i="20"/>
  <c r="V8" i="20"/>
  <c r="V30" i="20"/>
  <c r="V29" i="20"/>
  <c r="V27" i="20"/>
  <c r="V33" i="20"/>
  <c r="V28" i="20"/>
  <c r="V22" i="20"/>
  <c r="V24" i="20"/>
  <c r="V32" i="20"/>
  <c r="V21" i="20"/>
  <c r="V31" i="20"/>
  <c r="V20" i="20"/>
  <c r="V23" i="20"/>
  <c r="V26" i="20"/>
  <c r="V25" i="20"/>
  <c r="V11" i="20"/>
  <c r="V19" i="20"/>
  <c r="V13" i="20"/>
  <c r="E177" i="14"/>
  <c r="E178" i="14"/>
  <c r="E180" i="14"/>
  <c r="E179" i="14"/>
  <c r="E197" i="14"/>
  <c r="E191" i="14"/>
  <c r="E203" i="14"/>
  <c r="E187" i="14"/>
  <c r="E204" i="14"/>
  <c r="E190" i="14"/>
  <c r="E199" i="14"/>
  <c r="E200" i="14"/>
  <c r="E184" i="14"/>
  <c r="E188" i="14"/>
  <c r="E189" i="14"/>
  <c r="E198" i="14"/>
  <c r="E185" i="14"/>
  <c r="E186" i="14"/>
  <c r="E206" i="14"/>
  <c r="E192" i="14"/>
  <c r="E205" i="14"/>
  <c r="E194" i="14"/>
  <c r="E183" i="14"/>
  <c r="E196" i="14"/>
  <c r="E202" i="14"/>
  <c r="E195" i="14"/>
  <c r="E193" i="14"/>
  <c r="E201" i="14"/>
  <c r="E182" i="14"/>
  <c r="E181" i="14"/>
  <c r="H66" i="6"/>
  <c r="G66" i="6"/>
  <c r="F66" i="6"/>
  <c r="E66" i="6"/>
  <c r="D66" i="6"/>
  <c r="C66" i="6"/>
  <c r="C148" i="14"/>
  <c r="G148" i="14"/>
  <c r="B47" i="5"/>
  <c r="V39" i="20"/>
  <c r="C149" i="14" l="1"/>
  <c r="F149" i="14"/>
  <c r="M148" i="14"/>
  <c r="D148" i="14"/>
  <c r="H148" i="14"/>
  <c r="B48" i="5"/>
  <c r="M149" i="14" l="1"/>
  <c r="D149" i="14"/>
  <c r="H149" i="14"/>
  <c r="B49" i="5"/>
  <c r="U140" i="14"/>
  <c r="V142" i="14"/>
  <c r="V145" i="14"/>
  <c r="Y8" i="20"/>
  <c r="C58" i="6" s="1"/>
  <c r="AI58" i="6" s="1"/>
  <c r="Q8" i="20"/>
  <c r="C56" i="6" s="1"/>
  <c r="AI56" i="6" s="1"/>
  <c r="W67" i="6" l="1"/>
  <c r="AD67" i="6"/>
  <c r="K67" i="6"/>
  <c r="L67" i="6"/>
  <c r="S67" i="6"/>
  <c r="O67" i="6"/>
  <c r="X67" i="6"/>
  <c r="Y67" i="6"/>
  <c r="U67" i="6"/>
  <c r="AF67" i="6"/>
  <c r="AC67" i="6"/>
  <c r="AE67" i="6"/>
  <c r="P67" i="6"/>
  <c r="Z67" i="6"/>
  <c r="AA67" i="6"/>
  <c r="T67" i="6"/>
  <c r="N67" i="6"/>
  <c r="AB67" i="6"/>
  <c r="Q67" i="6"/>
  <c r="I67" i="6"/>
  <c r="R67" i="6"/>
  <c r="M67" i="6"/>
  <c r="AG67" i="6"/>
  <c r="J67" i="6"/>
  <c r="V67" i="6"/>
  <c r="L65" i="6"/>
  <c r="X65" i="6"/>
  <c r="Q65" i="6"/>
  <c r="AE65" i="6"/>
  <c r="O65" i="6"/>
  <c r="AD65" i="6"/>
  <c r="P65" i="6"/>
  <c r="Z65" i="6"/>
  <c r="U65" i="6"/>
  <c r="AA65" i="6"/>
  <c r="AC65" i="6"/>
  <c r="AF65" i="6"/>
  <c r="W65" i="6"/>
  <c r="V65" i="6"/>
  <c r="AG65" i="6"/>
  <c r="I65" i="6"/>
  <c r="K65" i="6"/>
  <c r="AB65" i="6"/>
  <c r="R65" i="6"/>
  <c r="S65" i="6"/>
  <c r="Y65" i="6"/>
  <c r="N65" i="6"/>
  <c r="T65" i="6"/>
  <c r="M65" i="6"/>
  <c r="J65" i="6"/>
  <c r="C65" i="6"/>
  <c r="Q39" i="20"/>
  <c r="Y39" i="20"/>
  <c r="B50" i="5"/>
  <c r="O135" i="14"/>
  <c r="W5" i="20"/>
  <c r="O5" i="20"/>
  <c r="U144" i="14"/>
  <c r="V143" i="14"/>
  <c r="U142" i="14"/>
  <c r="V139" i="14"/>
  <c r="U134" i="14"/>
  <c r="U145" i="14"/>
  <c r="V144" i="14"/>
  <c r="U143" i="14"/>
  <c r="V140" i="14"/>
  <c r="U139" i="14"/>
  <c r="Z8" i="20" l="1"/>
  <c r="Z24" i="20"/>
  <c r="Z32" i="20"/>
  <c r="Z29" i="20"/>
  <c r="Z22" i="20"/>
  <c r="Z30" i="20"/>
  <c r="Z28" i="20"/>
  <c r="Z26" i="20"/>
  <c r="Z31" i="20"/>
  <c r="Z33" i="20"/>
  <c r="Z20" i="20"/>
  <c r="Z21" i="20"/>
  <c r="Z23" i="20"/>
  <c r="Z25" i="20"/>
  <c r="Z27" i="20"/>
  <c r="Z11" i="20"/>
  <c r="Z13" i="20"/>
  <c r="Z14" i="20"/>
  <c r="Z15" i="20"/>
  <c r="Z12" i="20"/>
  <c r="Z17" i="20"/>
  <c r="Z19" i="20"/>
  <c r="Z16" i="20"/>
  <c r="Z9" i="20"/>
  <c r="Z18" i="20"/>
  <c r="Z10" i="20"/>
  <c r="R8" i="20"/>
  <c r="R28" i="20"/>
  <c r="R30" i="20"/>
  <c r="R24" i="20"/>
  <c r="R32" i="20"/>
  <c r="R33" i="20"/>
  <c r="R23" i="20"/>
  <c r="R21" i="20"/>
  <c r="R29" i="20"/>
  <c r="R20" i="20"/>
  <c r="R26" i="20"/>
  <c r="R25" i="20"/>
  <c r="R31" i="20"/>
  <c r="R27" i="20"/>
  <c r="R22" i="20"/>
  <c r="R18" i="20"/>
  <c r="R10" i="20"/>
  <c r="R11" i="20"/>
  <c r="R12" i="20"/>
  <c r="R15" i="20"/>
  <c r="R14" i="20"/>
  <c r="R17" i="20"/>
  <c r="R19" i="20"/>
  <c r="R13" i="20"/>
  <c r="R16" i="20"/>
  <c r="R9" i="20"/>
  <c r="D67" i="6"/>
  <c r="E67" i="6"/>
  <c r="G67" i="6"/>
  <c r="H67" i="6"/>
  <c r="F67" i="6"/>
  <c r="AJ57" i="6"/>
  <c r="C77" i="6"/>
  <c r="E77" i="6" s="1"/>
  <c r="F65" i="6"/>
  <c r="E65" i="6"/>
  <c r="H65" i="6"/>
  <c r="G65" i="6"/>
  <c r="D65" i="6"/>
  <c r="AJ56" i="6"/>
  <c r="C67" i="6"/>
  <c r="AJ58" i="6"/>
  <c r="C79" i="6"/>
  <c r="E79" i="6" s="1"/>
  <c r="R39" i="20"/>
  <c r="B51" i="5"/>
  <c r="K153" i="14" s="1"/>
  <c r="J152" i="14"/>
  <c r="R135" i="14"/>
  <c r="S135" i="14" s="1"/>
  <c r="E148" i="14"/>
  <c r="L148" i="14" s="1"/>
  <c r="I151" i="14"/>
  <c r="J148" i="14"/>
  <c r="K148" i="14"/>
  <c r="K150" i="14"/>
  <c r="E147" i="14"/>
  <c r="L147" i="14" s="1"/>
  <c r="F148" i="14"/>
  <c r="G151" i="14"/>
  <c r="J151" i="14"/>
  <c r="C151" i="14"/>
  <c r="M151" i="14" s="1"/>
  <c r="C152" i="14"/>
  <c r="M152" i="14" s="1"/>
  <c r="I150" i="14"/>
  <c r="K151" i="14"/>
  <c r="F150" i="14"/>
  <c r="F151" i="14"/>
  <c r="J150" i="14"/>
  <c r="E151" i="14"/>
  <c r="G152" i="14"/>
  <c r="I152" i="14"/>
  <c r="K152" i="14"/>
  <c r="E152" i="14"/>
  <c r="L152" i="14" s="1"/>
  <c r="J153" i="14"/>
  <c r="F152" i="14"/>
  <c r="C153" i="14"/>
  <c r="M153" i="14" s="1"/>
  <c r="Z39" i="20"/>
  <c r="F153" i="14" l="1"/>
  <c r="I153" i="14"/>
  <c r="G153" i="14"/>
  <c r="L151" i="14"/>
  <c r="E153" i="14"/>
  <c r="L153" i="14" s="1"/>
  <c r="B52" i="5"/>
  <c r="T148" i="14"/>
  <c r="O148" i="14" s="1"/>
  <c r="H152" i="14"/>
  <c r="D152" i="14"/>
  <c r="H151" i="14"/>
  <c r="N151" i="14"/>
  <c r="P151" i="14" s="1"/>
  <c r="Q151" i="14" s="1"/>
  <c r="D151" i="14"/>
  <c r="H153" i="14"/>
  <c r="D153" i="14"/>
  <c r="N152" i="14"/>
  <c r="P152" i="14" s="1"/>
  <c r="Q152" i="14" s="1"/>
  <c r="D78" i="6"/>
  <c r="D77" i="6"/>
  <c r="D79" i="6"/>
  <c r="V160" i="14"/>
  <c r="U160" i="14"/>
  <c r="V159" i="14"/>
  <c r="U159" i="14"/>
  <c r="V158" i="14"/>
  <c r="U158" i="14"/>
  <c r="V157" i="14"/>
  <c r="U157" i="14"/>
  <c r="V156" i="14"/>
  <c r="U156" i="14"/>
  <c r="V155" i="14"/>
  <c r="U155" i="14"/>
  <c r="V154" i="14"/>
  <c r="U154" i="14"/>
  <c r="V153" i="14"/>
  <c r="U153" i="14"/>
  <c r="V152" i="14"/>
  <c r="U152" i="14"/>
  <c r="V151" i="14"/>
  <c r="U151" i="14"/>
  <c r="V150" i="14"/>
  <c r="U150" i="14"/>
  <c r="V149" i="14"/>
  <c r="U149" i="14"/>
  <c r="V148" i="14"/>
  <c r="U148" i="14"/>
  <c r="V147" i="14"/>
  <c r="U147" i="14"/>
  <c r="V146" i="14"/>
  <c r="U146" i="14"/>
  <c r="V138" i="14"/>
  <c r="U138" i="14"/>
  <c r="V137" i="14"/>
  <c r="U137" i="14"/>
  <c r="V136" i="14"/>
  <c r="U136" i="14"/>
  <c r="V135" i="14"/>
  <c r="U135" i="14"/>
  <c r="V134" i="14"/>
  <c r="N153" i="14" l="1"/>
  <c r="P153" i="14" s="1"/>
  <c r="Q153" i="14" s="1"/>
  <c r="T153" i="14"/>
  <c r="O153" i="14" s="1"/>
  <c r="T152" i="14"/>
  <c r="O152" i="14" s="1"/>
  <c r="R152" i="14" s="1"/>
  <c r="S152" i="14" s="1"/>
  <c r="T151" i="14"/>
  <c r="O151" i="14" s="1"/>
  <c r="R151" i="14" s="1"/>
  <c r="S151" i="14" s="1"/>
  <c r="B53" i="5"/>
  <c r="I155" i="14" s="1"/>
  <c r="G154" i="14"/>
  <c r="E154" i="14"/>
  <c r="J154" i="14"/>
  <c r="C154" i="14"/>
  <c r="K154" i="14"/>
  <c r="P154" i="14" s="1"/>
  <c r="Q154" i="14" s="1"/>
  <c r="I154" i="14"/>
  <c r="K155" i="14"/>
  <c r="P155" i="14" s="1"/>
  <c r="Q155" i="14" s="1"/>
  <c r="R148" i="14"/>
  <c r="S148" i="14" s="1"/>
  <c r="J155" i="14" l="1"/>
  <c r="L154" i="14"/>
  <c r="F155" i="14"/>
  <c r="G155" i="14"/>
  <c r="R153" i="14"/>
  <c r="S153" i="14" s="1"/>
  <c r="E155" i="14"/>
  <c r="C155" i="14"/>
  <c r="H155" i="14" s="1"/>
  <c r="M154" i="14"/>
  <c r="N154" i="14"/>
  <c r="D154" i="14"/>
  <c r="H154" i="14"/>
  <c r="T154" i="14" s="1"/>
  <c r="B54" i="5"/>
  <c r="L155" i="14" l="1"/>
  <c r="T155" i="14"/>
  <c r="O155" i="14" s="1"/>
  <c r="M155" i="14"/>
  <c r="D155" i="14"/>
  <c r="N155" i="14"/>
  <c r="O154" i="14"/>
  <c r="R154" i="14" s="1"/>
  <c r="S154" i="14" s="1"/>
  <c r="I156" i="14"/>
  <c r="G156" i="14"/>
  <c r="B55" i="5"/>
  <c r="J157" i="14" s="1"/>
  <c r="C156" i="14"/>
  <c r="E156" i="14"/>
  <c r="J156" i="14"/>
  <c r="K156" i="14"/>
  <c r="P156" i="14" s="1"/>
  <c r="Q156" i="14" s="1"/>
  <c r="L156" i="14" l="1"/>
  <c r="R155" i="14"/>
  <c r="S155" i="14" s="1"/>
  <c r="C157" i="14"/>
  <c r="M157" i="14" s="1"/>
  <c r="E157" i="14"/>
  <c r="K157" i="14"/>
  <c r="P157" i="14" s="1"/>
  <c r="Q157" i="14" s="1"/>
  <c r="F157" i="14"/>
  <c r="M156" i="14"/>
  <c r="D156" i="14"/>
  <c r="H156" i="14"/>
  <c r="N156" i="14"/>
  <c r="B56" i="5"/>
  <c r="F158" i="14" s="1"/>
  <c r="G157" i="14"/>
  <c r="L157" i="14" l="1"/>
  <c r="T156" i="14"/>
  <c r="O156" i="14" s="1"/>
  <c r="R156" i="14" s="1"/>
  <c r="S156" i="14" s="1"/>
  <c r="H157" i="14"/>
  <c r="T157" i="14" s="1"/>
  <c r="D157" i="14"/>
  <c r="E158" i="14"/>
  <c r="K158" i="14"/>
  <c r="G158" i="14"/>
  <c r="B57" i="5"/>
  <c r="E159" i="14" s="1"/>
  <c r="C158" i="14"/>
  <c r="I158" i="14"/>
  <c r="L158" i="14" l="1"/>
  <c r="O157" i="14"/>
  <c r="R157" i="14" s="1"/>
  <c r="S157" i="14" s="1"/>
  <c r="F159" i="14"/>
  <c r="G159" i="14"/>
  <c r="L159" i="14" s="1"/>
  <c r="M158" i="14"/>
  <c r="D158" i="14"/>
  <c r="H158" i="14"/>
  <c r="N158" i="14"/>
  <c r="P158" i="14" s="1"/>
  <c r="Q158" i="14" s="1"/>
  <c r="B58" i="5"/>
  <c r="B59" i="5" s="1"/>
  <c r="I159" i="14"/>
  <c r="T158" i="14" l="1"/>
  <c r="O158" i="14" s="1"/>
  <c r="K136" i="14"/>
  <c r="G137" i="14"/>
  <c r="I136" i="14"/>
  <c r="E136" i="14"/>
  <c r="C136" i="14"/>
  <c r="I138" i="14"/>
  <c r="E137" i="14"/>
  <c r="G136" i="14"/>
  <c r="J136" i="14"/>
  <c r="F137" i="14"/>
  <c r="F136" i="14"/>
  <c r="K137" i="14"/>
  <c r="C138" i="14"/>
  <c r="J138" i="14"/>
  <c r="I137" i="14"/>
  <c r="F139" i="14"/>
  <c r="E138" i="14"/>
  <c r="J137" i="14"/>
  <c r="C137" i="14"/>
  <c r="J139" i="14"/>
  <c r="G138" i="14"/>
  <c r="E139" i="14"/>
  <c r="C139" i="14"/>
  <c r="G141" i="14"/>
  <c r="I140" i="14"/>
  <c r="G140" i="14"/>
  <c r="G139" i="14"/>
  <c r="K139" i="14"/>
  <c r="C140" i="14"/>
  <c r="K138" i="14"/>
  <c r="F138" i="14"/>
  <c r="I139" i="14"/>
  <c r="J141" i="14"/>
  <c r="F140" i="14"/>
  <c r="E140" i="14"/>
  <c r="L140" i="14" s="1"/>
  <c r="F141" i="14"/>
  <c r="C141" i="14"/>
  <c r="I160" i="14"/>
  <c r="E161" i="14"/>
  <c r="C160" i="14"/>
  <c r="F161" i="14"/>
  <c r="F160" i="14"/>
  <c r="E160" i="14"/>
  <c r="L160" i="14" s="1"/>
  <c r="K161" i="14"/>
  <c r="K160" i="14"/>
  <c r="G160" i="14"/>
  <c r="I161" i="14"/>
  <c r="J160" i="14"/>
  <c r="L137" i="14" l="1"/>
  <c r="L139" i="14"/>
  <c r="L138" i="14"/>
  <c r="L136" i="14"/>
  <c r="N139" i="14"/>
  <c r="P139" i="14" s="1"/>
  <c r="Q139" i="14" s="1"/>
  <c r="H139" i="14"/>
  <c r="T139" i="14" s="1"/>
  <c r="D139" i="14"/>
  <c r="M139" i="14"/>
  <c r="D137" i="14"/>
  <c r="H137" i="14"/>
  <c r="N137" i="14"/>
  <c r="P137" i="14" s="1"/>
  <c r="Q137" i="14" s="1"/>
  <c r="M137" i="14"/>
  <c r="H141" i="14"/>
  <c r="M141" i="14"/>
  <c r="D141" i="14"/>
  <c r="H140" i="14"/>
  <c r="N140" i="14"/>
  <c r="M140" i="14"/>
  <c r="D140" i="14"/>
  <c r="N138" i="14"/>
  <c r="P138" i="14" s="1"/>
  <c r="Q138" i="14" s="1"/>
  <c r="H138" i="14"/>
  <c r="D138" i="14"/>
  <c r="M138" i="14"/>
  <c r="D136" i="14"/>
  <c r="H136" i="14"/>
  <c r="T136" i="14" s="1"/>
  <c r="M136" i="14"/>
  <c r="N136" i="14"/>
  <c r="P136" i="14" s="1"/>
  <c r="Q136" i="14" s="1"/>
  <c r="M160" i="14"/>
  <c r="D160" i="14"/>
  <c r="N160" i="14"/>
  <c r="P160" i="14" s="1"/>
  <c r="Q160" i="14" s="1"/>
  <c r="H160" i="14"/>
  <c r="T160" i="14"/>
  <c r="O160" i="14" l="1"/>
  <c r="R160" i="14" s="1"/>
  <c r="S160" i="14" s="1"/>
  <c r="H32" i="19" s="1"/>
  <c r="I32" i="19" s="1"/>
  <c r="O139" i="14"/>
  <c r="R139" i="14" s="1"/>
  <c r="S139" i="14" s="1"/>
  <c r="O136" i="14"/>
  <c r="R136" i="14" s="1"/>
  <c r="S136" i="14" s="1"/>
  <c r="T138" i="14"/>
  <c r="O138" i="14" s="1"/>
  <c r="R138" i="14" s="1"/>
  <c r="S138" i="14" s="1"/>
  <c r="T137" i="14"/>
  <c r="O137" i="14" s="1"/>
  <c r="R137" i="14" s="1"/>
  <c r="S137" i="14" s="1"/>
  <c r="E163" i="14"/>
  <c r="G162" i="14"/>
  <c r="F163" i="14"/>
  <c r="K162" i="14"/>
  <c r="J162" i="14"/>
  <c r="I162" i="14"/>
  <c r="K163" i="14"/>
  <c r="F162" i="14"/>
  <c r="J171" i="14" l="1"/>
  <c r="J172" i="14"/>
  <c r="I170" i="14"/>
  <c r="I171" i="14"/>
  <c r="E168" i="14"/>
  <c r="K171" i="14"/>
  <c r="P171" i="14" s="1"/>
  <c r="Q171" i="14" s="1"/>
  <c r="F168" i="14"/>
  <c r="I168" i="14"/>
  <c r="K169" i="14"/>
  <c r="J170" i="14"/>
  <c r="G170" i="14"/>
  <c r="K168" i="14"/>
  <c r="P168" i="14" s="1"/>
  <c r="Q168" i="14" s="1"/>
  <c r="E171" i="14"/>
  <c r="L171" i="14" s="1"/>
  <c r="C168" i="14"/>
  <c r="J169" i="14"/>
  <c r="G168" i="14"/>
  <c r="F170" i="14"/>
  <c r="G171" i="14"/>
  <c r="F172" i="14"/>
  <c r="E172" i="14"/>
  <c r="L172" i="14" s="1"/>
  <c r="K172" i="14"/>
  <c r="P172" i="14" s="1"/>
  <c r="Q172" i="14" s="1"/>
  <c r="F171" i="14"/>
  <c r="E170" i="14"/>
  <c r="L170" i="14" s="1"/>
  <c r="I172" i="14"/>
  <c r="E169" i="14"/>
  <c r="L169" i="14" s="1"/>
  <c r="G169" i="14"/>
  <c r="I169" i="14"/>
  <c r="C172" i="14"/>
  <c r="C171" i="14"/>
  <c r="F169" i="14"/>
  <c r="J168" i="14"/>
  <c r="C170" i="14"/>
  <c r="K170" i="14"/>
  <c r="P170" i="14" s="1"/>
  <c r="Q170" i="14" s="1"/>
  <c r="C169" i="14"/>
  <c r="G172" i="14"/>
  <c r="C134" i="14"/>
  <c r="I134" i="14"/>
  <c r="K134" i="14"/>
  <c r="G134" i="14"/>
  <c r="L134" i="14" s="1"/>
  <c r="J134" i="14"/>
  <c r="F134" i="14"/>
  <c r="P163" i="14"/>
  <c r="P162" i="14"/>
  <c r="K140" i="14"/>
  <c r="J142" i="14"/>
  <c r="C167" i="14"/>
  <c r="G166" i="14"/>
  <c r="J140" i="14"/>
  <c r="I141" i="14"/>
  <c r="N141" i="14" s="1"/>
  <c r="G165" i="14"/>
  <c r="C164" i="14"/>
  <c r="C165" i="14"/>
  <c r="F165" i="14"/>
  <c r="G142" i="14"/>
  <c r="L142" i="14" s="1"/>
  <c r="G167" i="14"/>
  <c r="E164" i="14"/>
  <c r="I166" i="14"/>
  <c r="I167" i="14"/>
  <c r="K164" i="14"/>
  <c r="P164" i="14" s="1"/>
  <c r="Q164" i="14" s="1"/>
  <c r="J165" i="14"/>
  <c r="I164" i="14"/>
  <c r="K141" i="14"/>
  <c r="K165" i="14"/>
  <c r="P165" i="14" s="1"/>
  <c r="Q165" i="14" s="1"/>
  <c r="K167" i="14"/>
  <c r="F164" i="14"/>
  <c r="E141" i="14"/>
  <c r="L141" i="14" s="1"/>
  <c r="J167" i="14"/>
  <c r="I165" i="14"/>
  <c r="F167" i="14"/>
  <c r="F142" i="14"/>
  <c r="F166" i="14"/>
  <c r="C143" i="14"/>
  <c r="K166" i="14"/>
  <c r="P166" i="14" s="1"/>
  <c r="Q166" i="14" s="1"/>
  <c r="E166" i="14"/>
  <c r="J166" i="14"/>
  <c r="E167" i="14"/>
  <c r="L167" i="14" s="1"/>
  <c r="G164" i="14"/>
  <c r="J164" i="14"/>
  <c r="K142" i="14"/>
  <c r="E165" i="14"/>
  <c r="I142" i="14"/>
  <c r="C142" i="14"/>
  <c r="K144" i="14"/>
  <c r="C166" i="14"/>
  <c r="K143" i="14"/>
  <c r="J143" i="14"/>
  <c r="C150" i="14"/>
  <c r="E145" i="14"/>
  <c r="G144" i="14"/>
  <c r="J144" i="14"/>
  <c r="G145" i="14"/>
  <c r="E144" i="14"/>
  <c r="L144" i="14" s="1"/>
  <c r="F144" i="14"/>
  <c r="I144" i="14"/>
  <c r="N144" i="14" s="1"/>
  <c r="J145" i="14"/>
  <c r="C147" i="14"/>
  <c r="G146" i="14"/>
  <c r="L146" i="14" s="1"/>
  <c r="C145" i="14"/>
  <c r="K145" i="14"/>
  <c r="I146" i="14"/>
  <c r="J147" i="14"/>
  <c r="J146" i="14"/>
  <c r="I148" i="14"/>
  <c r="C146" i="14"/>
  <c r="F147" i="14"/>
  <c r="G149" i="14"/>
  <c r="I149" i="14"/>
  <c r="N149" i="14" s="1"/>
  <c r="E149" i="14"/>
  <c r="J149" i="14"/>
  <c r="K149" i="14"/>
  <c r="E150" i="14"/>
  <c r="G150" i="14"/>
  <c r="F154" i="14"/>
  <c r="F156" i="14"/>
  <c r="I157" i="14"/>
  <c r="N157" i="14" s="1"/>
  <c r="J158" i="14"/>
  <c r="R158" i="14" s="1"/>
  <c r="S158" i="14" s="1"/>
  <c r="J159" i="14"/>
  <c r="K159" i="14"/>
  <c r="C159" i="14"/>
  <c r="J163" i="14"/>
  <c r="C161" i="14"/>
  <c r="I163" i="14"/>
  <c r="J161" i="14"/>
  <c r="G163" i="14"/>
  <c r="L163" i="14" s="1"/>
  <c r="G161" i="14"/>
  <c r="L161" i="14" s="1"/>
  <c r="E162" i="14"/>
  <c r="L162" i="14" s="1"/>
  <c r="C162" i="14"/>
  <c r="M162" i="14" s="1"/>
  <c r="C163" i="14"/>
  <c r="I8" i="20"/>
  <c r="C54" i="6" s="1"/>
  <c r="AI54" i="6" s="1"/>
  <c r="L149" i="14" l="1"/>
  <c r="L150" i="14"/>
  <c r="L168" i="14"/>
  <c r="L166" i="14"/>
  <c r="L145" i="14"/>
  <c r="L165" i="14"/>
  <c r="L164" i="14"/>
  <c r="R164" i="14" s="1"/>
  <c r="S163" i="14" s="1"/>
  <c r="F72" i="14"/>
  <c r="G72" i="14" s="1"/>
  <c r="F71" i="14"/>
  <c r="G71" i="14" s="1"/>
  <c r="F70" i="14"/>
  <c r="G70" i="14" s="1"/>
  <c r="F69" i="14"/>
  <c r="G69" i="14" s="1"/>
  <c r="R172" i="14"/>
  <c r="S171" i="14" s="1"/>
  <c r="R167" i="14"/>
  <c r="R169" i="14"/>
  <c r="T169" i="14"/>
  <c r="R170" i="14"/>
  <c r="S169" i="14" s="1"/>
  <c r="T171" i="14"/>
  <c r="R171" i="14"/>
  <c r="S170" i="14" s="1"/>
  <c r="R163" i="14"/>
  <c r="S162" i="14" s="1"/>
  <c r="R166" i="14"/>
  <c r="S165" i="14" s="1"/>
  <c r="T167" i="14"/>
  <c r="T172" i="14"/>
  <c r="F65" i="14"/>
  <c r="G65" i="14" s="1"/>
  <c r="F66" i="14"/>
  <c r="G66" i="14" s="1"/>
  <c r="F67" i="14"/>
  <c r="G67" i="14" s="1"/>
  <c r="F68" i="14"/>
  <c r="G68" i="14" s="1"/>
  <c r="F63" i="14"/>
  <c r="G63" i="14" s="1"/>
  <c r="F64" i="14"/>
  <c r="G64" i="14" s="1"/>
  <c r="F62" i="14"/>
  <c r="G62" i="14" s="1"/>
  <c r="F61" i="14"/>
  <c r="G61" i="14" s="1"/>
  <c r="F60" i="14"/>
  <c r="G60" i="14" s="1"/>
  <c r="F59" i="14"/>
  <c r="G59" i="14" s="1"/>
  <c r="F58" i="14"/>
  <c r="G58" i="14" s="1"/>
  <c r="P149" i="14"/>
  <c r="Q149" i="14" s="1"/>
  <c r="P144" i="14"/>
  <c r="Q144" i="14" s="1"/>
  <c r="F56" i="14"/>
  <c r="G56" i="14" s="1"/>
  <c r="F57" i="14"/>
  <c r="G57" i="14" s="1"/>
  <c r="F54" i="14"/>
  <c r="G54" i="14" s="1"/>
  <c r="F55" i="14"/>
  <c r="G55" i="14" s="1"/>
  <c r="V63" i="6"/>
  <c r="AB63" i="6"/>
  <c r="T63" i="6"/>
  <c r="Z63" i="6"/>
  <c r="P63" i="6"/>
  <c r="U63" i="6"/>
  <c r="M63" i="6"/>
  <c r="L63" i="6"/>
  <c r="AE63" i="6"/>
  <c r="Q63" i="6"/>
  <c r="I63" i="6"/>
  <c r="AD63" i="6"/>
  <c r="AG63" i="6"/>
  <c r="K63" i="6"/>
  <c r="AC63" i="6"/>
  <c r="W63" i="6"/>
  <c r="AF63" i="6"/>
  <c r="S63" i="6"/>
  <c r="X63" i="6"/>
  <c r="Y63" i="6"/>
  <c r="N63" i="6"/>
  <c r="O63" i="6"/>
  <c r="J63" i="6"/>
  <c r="AA63" i="6"/>
  <c r="R63" i="6"/>
  <c r="H172" i="14"/>
  <c r="D172" i="14"/>
  <c r="N172" i="14"/>
  <c r="M172" i="14"/>
  <c r="D169" i="14"/>
  <c r="N169" i="14"/>
  <c r="P169" i="14" s="1"/>
  <c r="Q169" i="14" s="1"/>
  <c r="H169" i="14"/>
  <c r="M169" i="14"/>
  <c r="D168" i="14"/>
  <c r="N168" i="14"/>
  <c r="H168" i="14"/>
  <c r="T168" i="14" s="1"/>
  <c r="M168" i="14"/>
  <c r="N170" i="14"/>
  <c r="D170" i="14"/>
  <c r="M170" i="14"/>
  <c r="H170" i="14"/>
  <c r="T170" i="14" s="1"/>
  <c r="D171" i="14"/>
  <c r="H171" i="14"/>
  <c r="M171" i="14"/>
  <c r="N171" i="14"/>
  <c r="F48" i="14"/>
  <c r="F49" i="14"/>
  <c r="F50" i="14"/>
  <c r="F51" i="14"/>
  <c r="F52" i="14"/>
  <c r="F53" i="14"/>
  <c r="G53" i="14" s="1"/>
  <c r="C75" i="6"/>
  <c r="E75" i="6" s="1"/>
  <c r="P141" i="14"/>
  <c r="Q141" i="14" s="1"/>
  <c r="M134" i="14"/>
  <c r="N134" i="14"/>
  <c r="P134" i="14" s="1"/>
  <c r="Q134" i="14" s="1"/>
  <c r="D134" i="14"/>
  <c r="H134" i="14"/>
  <c r="T134" i="14" s="1"/>
  <c r="N148" i="14"/>
  <c r="P148" i="14" s="1"/>
  <c r="Q148" i="14" s="1"/>
  <c r="N146" i="14"/>
  <c r="P146" i="14" s="1"/>
  <c r="Q146" i="14" s="1"/>
  <c r="N164" i="14"/>
  <c r="M164" i="14"/>
  <c r="D164" i="14"/>
  <c r="H164" i="14"/>
  <c r="T164" i="14" s="1"/>
  <c r="M147" i="14"/>
  <c r="N147" i="14"/>
  <c r="P147" i="14" s="1"/>
  <c r="Q147" i="14" s="1"/>
  <c r="D147" i="14"/>
  <c r="H147" i="14"/>
  <c r="T144" i="14"/>
  <c r="O144" i="14" s="1"/>
  <c r="P140" i="14"/>
  <c r="Q140" i="14" s="1"/>
  <c r="T140" i="14"/>
  <c r="O140" i="14" s="1"/>
  <c r="R140" i="14" s="1"/>
  <c r="S140" i="14" s="1"/>
  <c r="D166" i="14"/>
  <c r="M166" i="14"/>
  <c r="N166" i="14"/>
  <c r="H166" i="14"/>
  <c r="T166" i="14" s="1"/>
  <c r="T141" i="14"/>
  <c r="O141" i="14" s="1"/>
  <c r="D142" i="14"/>
  <c r="H142" i="14"/>
  <c r="M142" i="14"/>
  <c r="N142" i="14"/>
  <c r="P142" i="14" s="1"/>
  <c r="Q142" i="14" s="1"/>
  <c r="F47" i="14"/>
  <c r="G47" i="14" s="1"/>
  <c r="T149" i="14"/>
  <c r="O149" i="14" s="1"/>
  <c r="M161" i="14"/>
  <c r="N161" i="14"/>
  <c r="P161" i="14" s="1"/>
  <c r="Q161" i="14" s="1"/>
  <c r="D161" i="14"/>
  <c r="H161" i="14"/>
  <c r="M167" i="14"/>
  <c r="D167" i="14"/>
  <c r="N167" i="14"/>
  <c r="P167" i="14" s="1"/>
  <c r="Q167" i="14" s="1"/>
  <c r="H167" i="14"/>
  <c r="M159" i="14"/>
  <c r="D159" i="14"/>
  <c r="H159" i="14"/>
  <c r="N159" i="14"/>
  <c r="P159" i="14" s="1"/>
  <c r="Q159" i="14" s="1"/>
  <c r="M150" i="14"/>
  <c r="N150" i="14"/>
  <c r="P150" i="14" s="1"/>
  <c r="Q150" i="14" s="1"/>
  <c r="H150" i="14"/>
  <c r="T150" i="14" s="1"/>
  <c r="D150" i="14"/>
  <c r="D165" i="14"/>
  <c r="M165" i="14"/>
  <c r="N165" i="14"/>
  <c r="H165" i="14"/>
  <c r="T165" i="14" s="1"/>
  <c r="H145" i="14"/>
  <c r="M145" i="14"/>
  <c r="D145" i="14"/>
  <c r="N145" i="14"/>
  <c r="P145" i="14" s="1"/>
  <c r="Q145" i="14" s="1"/>
  <c r="D163" i="14"/>
  <c r="N162" i="14"/>
  <c r="H162" i="14"/>
  <c r="T162" i="14" s="1"/>
  <c r="M163" i="14"/>
  <c r="H163" i="14"/>
  <c r="T163" i="14" s="1"/>
  <c r="N163" i="14"/>
  <c r="D162" i="14"/>
  <c r="H143" i="14"/>
  <c r="D143" i="14"/>
  <c r="M143" i="14"/>
  <c r="N143" i="14"/>
  <c r="P143" i="14" s="1"/>
  <c r="Q143" i="14" s="1"/>
  <c r="M146" i="14"/>
  <c r="D146" i="14"/>
  <c r="H146" i="14"/>
  <c r="Q163" i="14"/>
  <c r="Q162" i="14"/>
  <c r="I39" i="20"/>
  <c r="G5" i="20"/>
  <c r="D196" i="14" l="1"/>
  <c r="F196" i="14" s="1"/>
  <c r="D183" i="14"/>
  <c r="F183" i="14" s="1"/>
  <c r="D177" i="14"/>
  <c r="F177" i="14" s="1"/>
  <c r="D182" i="14"/>
  <c r="F182" i="14" s="1"/>
  <c r="D198" i="14"/>
  <c r="F198" i="14" s="1"/>
  <c r="D201" i="14"/>
  <c r="F201" i="14" s="1"/>
  <c r="D191" i="14"/>
  <c r="F191" i="14" s="1"/>
  <c r="D195" i="14"/>
  <c r="F195" i="14" s="1"/>
  <c r="D202" i="14"/>
  <c r="F202" i="14" s="1"/>
  <c r="T161" i="14"/>
  <c r="O161" i="14" s="1"/>
  <c r="R161" i="14" s="1"/>
  <c r="S161" i="14" s="1"/>
  <c r="H33" i="19" s="1"/>
  <c r="I33" i="19" s="1"/>
  <c r="T159" i="14"/>
  <c r="O159" i="14" s="1"/>
  <c r="R159" i="14" s="1"/>
  <c r="S159" i="14" s="1"/>
  <c r="H31" i="19" s="1"/>
  <c r="I31" i="19" s="1"/>
  <c r="J39" i="20"/>
  <c r="R165" i="14"/>
  <c r="S164" i="14" s="1"/>
  <c r="J8" i="20"/>
  <c r="D48" i="20" s="1"/>
  <c r="J25" i="20"/>
  <c r="J20" i="20"/>
  <c r="J31" i="20"/>
  <c r="J23" i="20"/>
  <c r="J30" i="20"/>
  <c r="J32" i="20"/>
  <c r="J22" i="20"/>
  <c r="J28" i="20"/>
  <c r="J33" i="20"/>
  <c r="J24" i="20"/>
  <c r="J29" i="20"/>
  <c r="J26" i="20"/>
  <c r="J21" i="20"/>
  <c r="J27" i="20"/>
  <c r="J16" i="20"/>
  <c r="J19" i="20"/>
  <c r="J9" i="20"/>
  <c r="J14" i="20"/>
  <c r="J13" i="20"/>
  <c r="J15" i="20"/>
  <c r="J17" i="20"/>
  <c r="J10" i="20"/>
  <c r="J11" i="20"/>
  <c r="J12" i="20"/>
  <c r="J18" i="20"/>
  <c r="S168" i="14"/>
  <c r="S166" i="14"/>
  <c r="R168" i="14"/>
  <c r="S167" i="14" s="1"/>
  <c r="D189" i="14"/>
  <c r="F189" i="14" s="1"/>
  <c r="D188" i="14"/>
  <c r="F188" i="14" s="1"/>
  <c r="O162" i="14"/>
  <c r="R162" i="14" s="1"/>
  <c r="D187" i="14"/>
  <c r="F187" i="14" s="1"/>
  <c r="D181" i="14"/>
  <c r="F181" i="14" s="1"/>
  <c r="D185" i="14"/>
  <c r="F185" i="14" s="1"/>
  <c r="D180" i="14"/>
  <c r="F180" i="14" s="1"/>
  <c r="D194" i="14"/>
  <c r="F194" i="14" s="1"/>
  <c r="D190" i="14"/>
  <c r="F190" i="14" s="1"/>
  <c r="D199" i="14"/>
  <c r="F199" i="14" s="1"/>
  <c r="D186" i="14"/>
  <c r="F186" i="14" s="1"/>
  <c r="D200" i="14"/>
  <c r="F200" i="14" s="1"/>
  <c r="D204" i="14"/>
  <c r="F204" i="14" s="1"/>
  <c r="D193" i="14"/>
  <c r="F193" i="14" s="1"/>
  <c r="D206" i="14"/>
  <c r="F206" i="14" s="1"/>
  <c r="D192" i="14"/>
  <c r="F192" i="14" s="1"/>
  <c r="D203" i="14"/>
  <c r="F203" i="14" s="1"/>
  <c r="D197" i="14"/>
  <c r="F197" i="14" s="1"/>
  <c r="D184" i="14"/>
  <c r="F184" i="14" s="1"/>
  <c r="D205" i="14"/>
  <c r="F205" i="14" s="1"/>
  <c r="D179" i="14"/>
  <c r="F179" i="14" s="1"/>
  <c r="G50" i="14"/>
  <c r="I50" i="14" s="1"/>
  <c r="G179" i="14"/>
  <c r="G49" i="14"/>
  <c r="M7" i="19" s="1"/>
  <c r="G178" i="14"/>
  <c r="G51" i="14"/>
  <c r="G180" i="14"/>
  <c r="D178" i="14"/>
  <c r="F178" i="14" s="1"/>
  <c r="G52" i="14"/>
  <c r="M10" i="19" s="1"/>
  <c r="G193" i="14"/>
  <c r="G204" i="14"/>
  <c r="G195" i="14"/>
  <c r="G192" i="14"/>
  <c r="G203" i="14"/>
  <c r="G198" i="14"/>
  <c r="G186" i="14"/>
  <c r="G206" i="14"/>
  <c r="G205" i="14"/>
  <c r="G199" i="14"/>
  <c r="G182" i="14"/>
  <c r="G202" i="14"/>
  <c r="G181" i="14"/>
  <c r="G189" i="14"/>
  <c r="G197" i="14"/>
  <c r="G185" i="14"/>
  <c r="G191" i="14"/>
  <c r="G196" i="14"/>
  <c r="H196" i="14" s="1"/>
  <c r="I196" i="14" s="1"/>
  <c r="G184" i="14"/>
  <c r="G200" i="14"/>
  <c r="G187" i="14"/>
  <c r="G201" i="14"/>
  <c r="G188" i="14"/>
  <c r="G194" i="14"/>
  <c r="G190" i="14"/>
  <c r="G183" i="14"/>
  <c r="G48" i="14"/>
  <c r="M6" i="19" s="1"/>
  <c r="G177" i="14"/>
  <c r="AJ55" i="6"/>
  <c r="G63" i="6"/>
  <c r="D63" i="6"/>
  <c r="F63" i="6"/>
  <c r="H63" i="6"/>
  <c r="E63" i="6"/>
  <c r="C63" i="6"/>
  <c r="S134" i="14"/>
  <c r="O134" i="14"/>
  <c r="R134" i="14" s="1"/>
  <c r="R144" i="14"/>
  <c r="S144" i="14" s="1"/>
  <c r="R149" i="14"/>
  <c r="S149" i="14" s="1"/>
  <c r="O150" i="14"/>
  <c r="R150" i="14" s="1"/>
  <c r="S150" i="14" s="1"/>
  <c r="T147" i="14"/>
  <c r="O147" i="14" s="1"/>
  <c r="R147" i="14" s="1"/>
  <c r="S147" i="14" s="1"/>
  <c r="T146" i="14"/>
  <c r="O146" i="14" s="1"/>
  <c r="R146" i="14" s="1"/>
  <c r="S146" i="14" s="1"/>
  <c r="T143" i="14"/>
  <c r="O143" i="14" s="1"/>
  <c r="R143" i="14" s="1"/>
  <c r="S143" i="14" s="1"/>
  <c r="T142" i="14"/>
  <c r="O142" i="14" s="1"/>
  <c r="R142" i="14" s="1"/>
  <c r="S142" i="14" s="1"/>
  <c r="R141" i="14"/>
  <c r="S141" i="14" s="1"/>
  <c r="M12" i="19"/>
  <c r="M33" i="19"/>
  <c r="T145" i="14"/>
  <c r="O145" i="14" s="1"/>
  <c r="R145" i="14" s="1"/>
  <c r="S145" i="14" s="1"/>
  <c r="M28" i="19"/>
  <c r="M13" i="19"/>
  <c r="M21" i="19"/>
  <c r="M11" i="19"/>
  <c r="M30" i="19"/>
  <c r="M20" i="19"/>
  <c r="M29" i="19"/>
  <c r="M26" i="19"/>
  <c r="M14" i="19"/>
  <c r="M25" i="19"/>
  <c r="M31" i="19"/>
  <c r="M18" i="19"/>
  <c r="M15" i="19"/>
  <c r="M27" i="19"/>
  <c r="M23" i="19"/>
  <c r="I47" i="14"/>
  <c r="J47" i="14" s="1"/>
  <c r="M17" i="19"/>
  <c r="M16" i="19"/>
  <c r="D76" i="6"/>
  <c r="C6" i="19"/>
  <c r="H177" i="14" l="1"/>
  <c r="I177" i="14" s="1"/>
  <c r="N15" i="26" s="1"/>
  <c r="H191" i="14"/>
  <c r="I191" i="14" s="1"/>
  <c r="H195" i="14"/>
  <c r="I195" i="14" s="1"/>
  <c r="H201" i="14"/>
  <c r="I201" i="14" s="1"/>
  <c r="H202" i="14"/>
  <c r="I202" i="14" s="1"/>
  <c r="H189" i="14"/>
  <c r="I189" i="14" s="1"/>
  <c r="H187" i="14"/>
  <c r="I187" i="14" s="1"/>
  <c r="H188" i="14"/>
  <c r="I188" i="14" s="1"/>
  <c r="H193" i="14"/>
  <c r="I193" i="14" s="1"/>
  <c r="H197" i="14"/>
  <c r="I197" i="14" s="1"/>
  <c r="H183" i="14"/>
  <c r="I183" i="14" s="1"/>
  <c r="H194" i="14"/>
  <c r="I194" i="14" s="1"/>
  <c r="O15" i="26"/>
  <c r="AD14" i="15" s="1"/>
  <c r="AC14" i="15"/>
  <c r="H198" i="14"/>
  <c r="I198" i="14" s="1"/>
  <c r="N40" i="26" s="1"/>
  <c r="H184" i="14"/>
  <c r="I184" i="14" s="1"/>
  <c r="H186" i="14"/>
  <c r="I186" i="14" s="1"/>
  <c r="N42" i="26" s="1"/>
  <c r="H204" i="14"/>
  <c r="I204" i="14" s="1"/>
  <c r="H180" i="14"/>
  <c r="I180" i="14" s="1"/>
  <c r="N36" i="26" s="1"/>
  <c r="H182" i="14"/>
  <c r="H203" i="14"/>
  <c r="I203" i="14" s="1"/>
  <c r="H200" i="14"/>
  <c r="I200" i="14" s="1"/>
  <c r="H185" i="14"/>
  <c r="I185" i="14" s="1"/>
  <c r="N37" i="26" s="1"/>
  <c r="O37" i="26" s="1"/>
  <c r="H206" i="14"/>
  <c r="I206" i="14" s="1"/>
  <c r="H192" i="14"/>
  <c r="I192" i="14" s="1"/>
  <c r="H199" i="14"/>
  <c r="I199" i="14" s="1"/>
  <c r="H190" i="14"/>
  <c r="I190" i="14" s="1"/>
  <c r="H181" i="14"/>
  <c r="I181" i="14" s="1"/>
  <c r="H205" i="14"/>
  <c r="I205" i="14" s="1"/>
  <c r="M8" i="19"/>
  <c r="H179" i="14"/>
  <c r="I179" i="14" s="1"/>
  <c r="H178" i="14"/>
  <c r="I178" i="14" s="1"/>
  <c r="I58" i="14"/>
  <c r="J58" i="14" s="1"/>
  <c r="I59" i="14"/>
  <c r="N17" i="19" s="1"/>
  <c r="G17" i="19" s="1"/>
  <c r="I48" i="14"/>
  <c r="N6" i="19" s="1"/>
  <c r="G6" i="19" s="1"/>
  <c r="N34" i="19"/>
  <c r="I76" i="14"/>
  <c r="J76" i="14"/>
  <c r="I55" i="14"/>
  <c r="N13" i="19" s="1"/>
  <c r="G13" i="19" s="1"/>
  <c r="M34" i="19"/>
  <c r="N24" i="19"/>
  <c r="I66" i="14"/>
  <c r="J66" i="14"/>
  <c r="M24" i="19"/>
  <c r="N28" i="19"/>
  <c r="G28" i="19" s="1"/>
  <c r="I70" i="14"/>
  <c r="J70" i="14"/>
  <c r="I52" i="14"/>
  <c r="N10" i="19" s="1"/>
  <c r="G10" i="19" s="1"/>
  <c r="N31" i="19"/>
  <c r="I73" i="14"/>
  <c r="J73" i="14"/>
  <c r="I64" i="14"/>
  <c r="N22" i="19" s="1"/>
  <c r="N29" i="19"/>
  <c r="G29" i="19" s="1"/>
  <c r="I71" i="14"/>
  <c r="J71" i="14"/>
  <c r="I49" i="14"/>
  <c r="N7" i="19" s="1"/>
  <c r="G7" i="19" s="1"/>
  <c r="I51" i="14"/>
  <c r="N9" i="19" s="1"/>
  <c r="M9" i="19"/>
  <c r="M22" i="19"/>
  <c r="N23" i="19"/>
  <c r="G23" i="19" s="1"/>
  <c r="J65" i="14"/>
  <c r="I65" i="14"/>
  <c r="N30" i="19"/>
  <c r="G30" i="19" s="1"/>
  <c r="J72" i="14"/>
  <c r="I72" i="14"/>
  <c r="N33" i="19"/>
  <c r="J75" i="14"/>
  <c r="I75" i="14"/>
  <c r="I56" i="14"/>
  <c r="J56" i="14" s="1"/>
  <c r="I60" i="14"/>
  <c r="N18" i="19" s="1"/>
  <c r="G18" i="19" s="1"/>
  <c r="N26" i="19"/>
  <c r="G26" i="19" s="1"/>
  <c r="J68" i="14"/>
  <c r="I68" i="14"/>
  <c r="I63" i="14"/>
  <c r="J63" i="14" s="1"/>
  <c r="I62" i="14"/>
  <c r="N20" i="19" s="1"/>
  <c r="G20" i="19" s="1"/>
  <c r="N27" i="19"/>
  <c r="G27" i="19" s="1"/>
  <c r="I69" i="14"/>
  <c r="J69" i="14"/>
  <c r="I57" i="14"/>
  <c r="J57" i="14" s="1"/>
  <c r="N25" i="19"/>
  <c r="G25" i="19" s="1"/>
  <c r="I67" i="14"/>
  <c r="J67" i="14"/>
  <c r="I61" i="14"/>
  <c r="N19" i="19" s="1"/>
  <c r="N32" i="19"/>
  <c r="J74" i="14"/>
  <c r="I74" i="14"/>
  <c r="N8" i="19"/>
  <c r="I53" i="14"/>
  <c r="J53" i="14" s="1"/>
  <c r="M32" i="19"/>
  <c r="M19" i="19"/>
  <c r="I54" i="14"/>
  <c r="N12" i="19" s="1"/>
  <c r="G12" i="19" s="1"/>
  <c r="E8" i="20"/>
  <c r="C53" i="6" s="1"/>
  <c r="AI53" i="6" s="1"/>
  <c r="E6" i="19"/>
  <c r="D6" i="19"/>
  <c r="J60" i="14" l="1"/>
  <c r="I182" i="14"/>
  <c r="N41" i="26" s="1"/>
  <c r="O40" i="26"/>
  <c r="J64" i="14"/>
  <c r="O42" i="26"/>
  <c r="N21" i="19"/>
  <c r="G21" i="19" s="1"/>
  <c r="J59" i="14"/>
  <c r="N39" i="26"/>
  <c r="O39" i="26" s="1"/>
  <c r="N38" i="26"/>
  <c r="J62" i="14"/>
  <c r="N35" i="26"/>
  <c r="J61" i="14"/>
  <c r="N16" i="19"/>
  <c r="G16" i="19" s="1"/>
  <c r="N17" i="26"/>
  <c r="AC16" i="15" s="1"/>
  <c r="N31" i="26"/>
  <c r="N29" i="26"/>
  <c r="AC25" i="15" s="1"/>
  <c r="N15" i="19"/>
  <c r="G15" i="19" s="1"/>
  <c r="O36" i="26"/>
  <c r="N11" i="19"/>
  <c r="G24" i="19"/>
  <c r="N30" i="26"/>
  <c r="O30" i="26" s="1"/>
  <c r="N32" i="26"/>
  <c r="O32" i="26" s="1"/>
  <c r="N34" i="26"/>
  <c r="G22" i="19"/>
  <c r="N33" i="26"/>
  <c r="AC29" i="15" s="1"/>
  <c r="N14" i="19"/>
  <c r="G14" i="19" s="1"/>
  <c r="G19" i="19"/>
  <c r="N19" i="26"/>
  <c r="AC18" i="15" s="1"/>
  <c r="N12" i="26"/>
  <c r="O12" i="26" s="1"/>
  <c r="AD11" i="15" s="1"/>
  <c r="J55" i="14"/>
  <c r="N18" i="26"/>
  <c r="AC17" i="15" s="1"/>
  <c r="N16" i="26"/>
  <c r="O16" i="26" s="1"/>
  <c r="AD15" i="15" s="1"/>
  <c r="N28" i="26"/>
  <c r="J54" i="14"/>
  <c r="N14" i="26"/>
  <c r="O14" i="26" s="1"/>
  <c r="AD13" i="15" s="1"/>
  <c r="G8" i="19"/>
  <c r="J62" i="6"/>
  <c r="K62" i="6"/>
  <c r="AF62" i="6"/>
  <c r="AF68" i="6" s="1"/>
  <c r="AD62" i="6"/>
  <c r="AD68" i="6" s="1"/>
  <c r="AG62" i="6"/>
  <c r="AG68" i="6" s="1"/>
  <c r="AC62" i="6"/>
  <c r="AC68" i="6" s="1"/>
  <c r="T62" i="6"/>
  <c r="T68" i="6" s="1"/>
  <c r="Q62" i="6"/>
  <c r="Q68" i="6" s="1"/>
  <c r="Y31" i="15" s="1"/>
  <c r="R62" i="6"/>
  <c r="R68" i="6" s="1"/>
  <c r="Y35" i="15" s="1"/>
  <c r="Y62" i="6"/>
  <c r="Y68" i="6" s="1"/>
  <c r="Y36" i="15" s="1"/>
  <c r="AA62" i="6"/>
  <c r="AA68" i="6" s="1"/>
  <c r="Y29" i="15" s="1"/>
  <c r="N62" i="6"/>
  <c r="N68" i="6" s="1"/>
  <c r="Y33" i="15" s="1"/>
  <c r="X62" i="6"/>
  <c r="X68" i="6" s="1"/>
  <c r="Y25" i="15" s="1"/>
  <c r="V62" i="6"/>
  <c r="V68" i="6" s="1"/>
  <c r="Y34" i="15" s="1"/>
  <c r="AB62" i="6"/>
  <c r="AB68" i="6" s="1"/>
  <c r="Y28" i="15" s="1"/>
  <c r="I62" i="6"/>
  <c r="I68" i="6" s="1"/>
  <c r="Y37" i="15" s="1"/>
  <c r="W62" i="6"/>
  <c r="W68" i="6" s="1"/>
  <c r="U62" i="6"/>
  <c r="U68" i="6" s="1"/>
  <c r="Y26" i="15" s="1"/>
  <c r="L62" i="6"/>
  <c r="M62" i="6"/>
  <c r="M68" i="6" s="1"/>
  <c r="Y38" i="15" s="1"/>
  <c r="P62" i="6"/>
  <c r="AE62" i="6"/>
  <c r="AE68" i="6" s="1"/>
  <c r="O62" i="6"/>
  <c r="O68" i="6" s="1"/>
  <c r="Y27" i="15" s="1"/>
  <c r="S62" i="6"/>
  <c r="Z62" i="6"/>
  <c r="Z68" i="6" s="1"/>
  <c r="Y30" i="15" s="1"/>
  <c r="J48" i="14"/>
  <c r="N11" i="26"/>
  <c r="O11" i="26" s="1"/>
  <c r="AD10" i="15" s="1"/>
  <c r="N27" i="26"/>
  <c r="AC36" i="15" s="1"/>
  <c r="N13" i="26"/>
  <c r="O13" i="26" s="1"/>
  <c r="AD12" i="15" s="1"/>
  <c r="J49" i="14"/>
  <c r="C74" i="6"/>
  <c r="E74" i="6" s="1"/>
  <c r="J51" i="14"/>
  <c r="J52" i="14"/>
  <c r="J50" i="14"/>
  <c r="G9" i="19"/>
  <c r="C5" i="20"/>
  <c r="E39" i="20"/>
  <c r="AD28" i="15" l="1"/>
  <c r="AC32" i="15"/>
  <c r="AC27" i="15"/>
  <c r="AD32" i="15"/>
  <c r="AD38" i="15"/>
  <c r="AC39" i="15"/>
  <c r="AC40" i="15"/>
  <c r="AC33" i="15"/>
  <c r="AC31" i="15"/>
  <c r="AC38" i="15"/>
  <c r="S68" i="6"/>
  <c r="L68" i="6"/>
  <c r="K68" i="6"/>
  <c r="P68" i="6"/>
  <c r="J68" i="6"/>
  <c r="AC37" i="15"/>
  <c r="O41" i="26"/>
  <c r="O38" i="26"/>
  <c r="AD34" i="15" s="1"/>
  <c r="AC34" i="15"/>
  <c r="F33" i="20"/>
  <c r="C73" i="20" s="1"/>
  <c r="D73" i="20"/>
  <c r="E73" i="20"/>
  <c r="F73" i="20"/>
  <c r="G73" i="20"/>
  <c r="H73" i="20"/>
  <c r="AC35" i="15"/>
  <c r="F32" i="20"/>
  <c r="C72" i="20" s="1"/>
  <c r="D72" i="20"/>
  <c r="E72" i="20"/>
  <c r="F72" i="20"/>
  <c r="G72" i="20"/>
  <c r="H72" i="20"/>
  <c r="F31" i="20"/>
  <c r="C71" i="20" s="1"/>
  <c r="D71" i="20"/>
  <c r="E71" i="20"/>
  <c r="F71" i="20"/>
  <c r="G71" i="20"/>
  <c r="H71" i="20"/>
  <c r="F30" i="20"/>
  <c r="C70" i="20" s="1"/>
  <c r="D70" i="20"/>
  <c r="E70" i="20"/>
  <c r="F70" i="20"/>
  <c r="G70" i="20"/>
  <c r="H70" i="20"/>
  <c r="O35" i="26"/>
  <c r="F29" i="20"/>
  <c r="C69" i="20" s="1"/>
  <c r="D69" i="20"/>
  <c r="E69" i="20"/>
  <c r="F69" i="20"/>
  <c r="G69" i="20"/>
  <c r="H69" i="20"/>
  <c r="O29" i="26"/>
  <c r="AD25" i="15" s="1"/>
  <c r="O33" i="26"/>
  <c r="O17" i="26"/>
  <c r="AD16" i="15" s="1"/>
  <c r="AC26" i="15"/>
  <c r="F28" i="20"/>
  <c r="C68" i="20" s="1"/>
  <c r="D68" i="20"/>
  <c r="E68" i="20"/>
  <c r="F68" i="20"/>
  <c r="G68" i="20"/>
  <c r="H68" i="20"/>
  <c r="O31" i="26"/>
  <c r="AD27" i="15" s="1"/>
  <c r="O19" i="26"/>
  <c r="AD18" i="15" s="1"/>
  <c r="AC28" i="15"/>
  <c r="F27" i="20"/>
  <c r="C67" i="20" s="1"/>
  <c r="D67" i="20"/>
  <c r="E67" i="20"/>
  <c r="F67" i="20"/>
  <c r="G67" i="20"/>
  <c r="H67" i="20"/>
  <c r="O18" i="26"/>
  <c r="AD17" i="15" s="1"/>
  <c r="F26" i="20"/>
  <c r="C66" i="20" s="1"/>
  <c r="D66" i="20"/>
  <c r="E66" i="20"/>
  <c r="F66" i="20"/>
  <c r="G66" i="20"/>
  <c r="H66" i="20"/>
  <c r="O34" i="26"/>
  <c r="AD30" i="15" s="1"/>
  <c r="AC30" i="15"/>
  <c r="F25" i="20"/>
  <c r="C65" i="20" s="1"/>
  <c r="D65" i="20"/>
  <c r="E65" i="20"/>
  <c r="F65" i="20"/>
  <c r="G65" i="20"/>
  <c r="H65" i="20"/>
  <c r="F24" i="20"/>
  <c r="C64" i="20" s="1"/>
  <c r="D64" i="20"/>
  <c r="E64" i="20"/>
  <c r="F64" i="20"/>
  <c r="G64" i="20"/>
  <c r="H64" i="20"/>
  <c r="F23" i="20"/>
  <c r="C63" i="20" s="1"/>
  <c r="D63" i="20"/>
  <c r="E63" i="20"/>
  <c r="F63" i="20"/>
  <c r="G63" i="20"/>
  <c r="H63" i="20"/>
  <c r="F22" i="20"/>
  <c r="C62" i="20" s="1"/>
  <c r="D62" i="20"/>
  <c r="E62" i="20"/>
  <c r="F62" i="20"/>
  <c r="G62" i="20"/>
  <c r="H62" i="20"/>
  <c r="F21" i="20"/>
  <c r="C61" i="20" s="1"/>
  <c r="D61" i="20"/>
  <c r="E61" i="20"/>
  <c r="F61" i="20"/>
  <c r="G61" i="20"/>
  <c r="H61" i="20"/>
  <c r="F20" i="20"/>
  <c r="C60" i="20" s="1"/>
  <c r="D60" i="20"/>
  <c r="E60" i="20"/>
  <c r="F60" i="20"/>
  <c r="G60" i="20"/>
  <c r="H60" i="20"/>
  <c r="AC11" i="15"/>
  <c r="AC15" i="15"/>
  <c r="O28" i="26"/>
  <c r="AD24" i="15" s="1"/>
  <c r="AC24" i="15"/>
  <c r="AC13" i="15"/>
  <c r="AC12" i="15"/>
  <c r="AC10" i="15"/>
  <c r="O27" i="26"/>
  <c r="AC23" i="15"/>
  <c r="F62" i="6"/>
  <c r="E62" i="6"/>
  <c r="G62" i="6"/>
  <c r="G68" i="6" s="1"/>
  <c r="Y32" i="15" s="1"/>
  <c r="H62" i="6"/>
  <c r="D62" i="6"/>
  <c r="D68" i="6" s="1"/>
  <c r="C62" i="6"/>
  <c r="C68" i="6" s="1"/>
  <c r="AJ60" i="6"/>
  <c r="AJ54" i="6"/>
  <c r="E48" i="20"/>
  <c r="E59" i="20"/>
  <c r="E58" i="20"/>
  <c r="E53" i="20"/>
  <c r="E50" i="20"/>
  <c r="E51" i="20"/>
  <c r="E55" i="20"/>
  <c r="E57" i="20"/>
  <c r="E49" i="20"/>
  <c r="E56" i="20"/>
  <c r="E52" i="20"/>
  <c r="E54" i="20"/>
  <c r="F58" i="20"/>
  <c r="F50" i="20"/>
  <c r="F52" i="20"/>
  <c r="F49" i="20"/>
  <c r="F59" i="20"/>
  <c r="F53" i="20"/>
  <c r="F57" i="20"/>
  <c r="F56" i="20"/>
  <c r="F55" i="20"/>
  <c r="F51" i="20"/>
  <c r="F54" i="20"/>
  <c r="G48" i="20"/>
  <c r="G53" i="20"/>
  <c r="G50" i="20"/>
  <c r="G57" i="20"/>
  <c r="G51" i="20"/>
  <c r="G58" i="20"/>
  <c r="G56" i="20"/>
  <c r="G49" i="20"/>
  <c r="G52" i="20"/>
  <c r="G55" i="20"/>
  <c r="G59" i="20"/>
  <c r="G54" i="20"/>
  <c r="H49" i="20"/>
  <c r="H54" i="20"/>
  <c r="H58" i="20"/>
  <c r="H55" i="20"/>
  <c r="H50" i="20"/>
  <c r="H53" i="20"/>
  <c r="H59" i="20"/>
  <c r="H52" i="20"/>
  <c r="H56" i="20"/>
  <c r="H51" i="20"/>
  <c r="H57" i="20"/>
  <c r="F48" i="20"/>
  <c r="H48" i="20"/>
  <c r="F9" i="20"/>
  <c r="C49" i="20" s="1"/>
  <c r="F18" i="20"/>
  <c r="C58" i="20" s="1"/>
  <c r="F19" i="20"/>
  <c r="C59" i="20" s="1"/>
  <c r="F13" i="20"/>
  <c r="C53" i="20" s="1"/>
  <c r="F12" i="20"/>
  <c r="C52" i="20" s="1"/>
  <c r="F10" i="20"/>
  <c r="C50" i="20" s="1"/>
  <c r="F17" i="20"/>
  <c r="C57" i="20" s="1"/>
  <c r="F16" i="20"/>
  <c r="C56" i="20" s="1"/>
  <c r="F11" i="20"/>
  <c r="C51" i="20" s="1"/>
  <c r="F15" i="20"/>
  <c r="C55" i="20" s="1"/>
  <c r="F14" i="20"/>
  <c r="C54" i="20" s="1"/>
  <c r="D58" i="20"/>
  <c r="D59" i="20"/>
  <c r="D51" i="20"/>
  <c r="D53" i="20"/>
  <c r="D56" i="20"/>
  <c r="D54" i="20"/>
  <c r="D52" i="20"/>
  <c r="D50" i="20"/>
  <c r="D55" i="20"/>
  <c r="D57" i="20"/>
  <c r="D49" i="20"/>
  <c r="F8" i="20"/>
  <c r="C48" i="20" s="1"/>
  <c r="F34" i="19"/>
  <c r="F31" i="19"/>
  <c r="F33" i="19"/>
  <c r="F32" i="19"/>
  <c r="F39" i="20"/>
  <c r="C79" i="20" l="1"/>
  <c r="AD23" i="15"/>
  <c r="AD40" i="15"/>
  <c r="AD39" i="15"/>
  <c r="AD33" i="15"/>
  <c r="AD35" i="15"/>
  <c r="AD29" i="15"/>
  <c r="AD31" i="15"/>
  <c r="AD37" i="15"/>
  <c r="AD26" i="15"/>
  <c r="AD36" i="15"/>
  <c r="F68" i="6"/>
  <c r="H68" i="6"/>
  <c r="Y24" i="15" s="1"/>
  <c r="D79" i="20"/>
  <c r="E68" i="6"/>
  <c r="Y12" i="15" s="1"/>
  <c r="H79" i="20"/>
  <c r="G79" i="20"/>
  <c r="F79" i="20"/>
  <c r="E79" i="20"/>
  <c r="I65" i="20"/>
  <c r="F22" i="19" s="1"/>
  <c r="H22" i="19" s="1"/>
  <c r="I59" i="20"/>
  <c r="I57" i="20"/>
  <c r="I54" i="20"/>
  <c r="I41" i="26" s="1"/>
  <c r="I72" i="20"/>
  <c r="F29" i="19" s="1"/>
  <c r="H29" i="19" s="1"/>
  <c r="I55" i="20"/>
  <c r="I51" i="20"/>
  <c r="I49" i="20"/>
  <c r="I48" i="20"/>
  <c r="I56" i="20"/>
  <c r="I53" i="20"/>
  <c r="I61" i="20"/>
  <c r="I63" i="20"/>
  <c r="I66" i="20"/>
  <c r="F23" i="19" s="1"/>
  <c r="H23" i="19" s="1"/>
  <c r="I68" i="20"/>
  <c r="I73" i="20"/>
  <c r="F30" i="19" s="1"/>
  <c r="H30" i="19" s="1"/>
  <c r="I70" i="20"/>
  <c r="F27" i="19" s="1"/>
  <c r="H27" i="19" s="1"/>
  <c r="I50" i="20"/>
  <c r="I58" i="20"/>
  <c r="I42" i="26" s="1"/>
  <c r="I60" i="20"/>
  <c r="I62" i="20"/>
  <c r="F19" i="19" s="1"/>
  <c r="H19" i="19" s="1"/>
  <c r="I64" i="20"/>
  <c r="I69" i="20"/>
  <c r="F26" i="19" s="1"/>
  <c r="H26" i="19" s="1"/>
  <c r="I52" i="20"/>
  <c r="I36" i="26" s="1"/>
  <c r="I67" i="20"/>
  <c r="F24" i="19" s="1"/>
  <c r="H24" i="19" s="1"/>
  <c r="I71" i="20"/>
  <c r="F28" i="19" s="1"/>
  <c r="H28" i="19" s="1"/>
  <c r="Y9" i="15"/>
  <c r="D75" i="6"/>
  <c r="Y23" i="15" l="1"/>
  <c r="Y51" i="15" s="1"/>
  <c r="Y10" i="15"/>
  <c r="Y11" i="15"/>
  <c r="I79" i="20"/>
  <c r="F25" i="19"/>
  <c r="H25" i="19" s="1"/>
  <c r="I40" i="26"/>
  <c r="F18" i="19"/>
  <c r="H18" i="19" s="1"/>
  <c r="I39" i="26"/>
  <c r="F21" i="19"/>
  <c r="H21" i="19" s="1"/>
  <c r="I38" i="26"/>
  <c r="F14" i="19"/>
  <c r="H14" i="19" s="1"/>
  <c r="I37" i="26"/>
  <c r="F15" i="19"/>
  <c r="H15" i="19" s="1"/>
  <c r="I35" i="26"/>
  <c r="I33" i="26"/>
  <c r="I34" i="26"/>
  <c r="I32" i="26"/>
  <c r="F20" i="19"/>
  <c r="H20" i="19" s="1"/>
  <c r="F13" i="19"/>
  <c r="H13" i="19" s="1"/>
  <c r="I31" i="26"/>
  <c r="I19" i="26"/>
  <c r="F16" i="19"/>
  <c r="H16" i="19" s="1"/>
  <c r="I30" i="26"/>
  <c r="I29" i="26"/>
  <c r="F17" i="19"/>
  <c r="H17" i="19" s="1"/>
  <c r="I17" i="26"/>
  <c r="I18" i="26"/>
  <c r="I16" i="26"/>
  <c r="I14" i="26"/>
  <c r="I27" i="26"/>
  <c r="I15" i="26"/>
  <c r="I28" i="26"/>
  <c r="I13" i="26"/>
  <c r="F5" i="19"/>
  <c r="F11" i="19"/>
  <c r="I12" i="26"/>
  <c r="F12" i="19"/>
  <c r="H12" i="19" s="1"/>
  <c r="I11" i="26"/>
  <c r="F8" i="19"/>
  <c r="H8" i="19" s="1"/>
  <c r="F10" i="19"/>
  <c r="H10" i="19" s="1"/>
  <c r="F9" i="19"/>
  <c r="H9" i="19" s="1"/>
  <c r="F6" i="19"/>
  <c r="H6" i="19" s="1"/>
  <c r="F7" i="19"/>
  <c r="D81" i="6"/>
  <c r="S19" i="15" s="1"/>
  <c r="D82" i="6"/>
  <c r="S20" i="15" s="1"/>
  <c r="D83" i="6"/>
  <c r="S18" i="15" s="1"/>
  <c r="Y19" i="15" l="1"/>
  <c r="D39" i="19"/>
  <c r="H5" i="19"/>
  <c r="D37" i="19"/>
  <c r="D38" i="19"/>
  <c r="D41" i="19"/>
  <c r="F3" i="19"/>
  <c r="H7" i="19"/>
  <c r="D40" i="19"/>
  <c r="K15" i="14"/>
  <c r="L15" i="14" l="1"/>
  <c r="N18" i="15" s="1"/>
  <c r="N20" i="15" s="1"/>
  <c r="E7" i="14"/>
  <c r="M7" i="14" s="1"/>
  <c r="D42" i="19"/>
  <c r="L11" i="19" l="1"/>
  <c r="G11" i="19" s="1"/>
  <c r="F39" i="19" s="1"/>
  <c r="M15" i="14"/>
  <c r="F40" i="19" l="1"/>
  <c r="F41" i="19"/>
  <c r="F38" i="19"/>
  <c r="H11" i="19"/>
  <c r="H3" i="19" s="1"/>
  <c r="I30" i="19" s="1"/>
  <c r="W8" i="24"/>
  <c r="V8" i="24"/>
  <c r="I28" i="19" l="1"/>
  <c r="I29" i="19"/>
  <c r="I26" i="19"/>
  <c r="I27" i="19"/>
  <c r="I23" i="19"/>
  <c r="I20" i="19"/>
  <c r="I22" i="19"/>
  <c r="I24" i="19"/>
  <c r="I21" i="19"/>
  <c r="I25" i="19"/>
  <c r="I18" i="19"/>
  <c r="I19" i="19"/>
  <c r="I13" i="19"/>
  <c r="I17" i="19"/>
  <c r="I16" i="19"/>
  <c r="I15" i="19"/>
  <c r="I11" i="19"/>
  <c r="I5" i="19"/>
  <c r="I7" i="19"/>
  <c r="I14" i="19"/>
  <c r="I12" i="19"/>
  <c r="I8" i="19"/>
  <c r="I6" i="19"/>
  <c r="I10" i="19"/>
  <c r="I9" i="19"/>
  <c r="I3" i="19" l="1"/>
  <c r="F42" i="19" s="1"/>
</calcChain>
</file>

<file path=xl/sharedStrings.xml><?xml version="1.0" encoding="utf-8"?>
<sst xmlns="http://schemas.openxmlformats.org/spreadsheetml/2006/main" count="1102" uniqueCount="478">
  <si>
    <t>Ticker</t>
  </si>
  <si>
    <t>Name</t>
  </si>
  <si>
    <t>Expense Ratio</t>
  </si>
  <si>
    <t>Fund Type</t>
  </si>
  <si>
    <t>Materials</t>
  </si>
  <si>
    <t>China</t>
  </si>
  <si>
    <t>Utilities</t>
  </si>
  <si>
    <t>Energy</t>
  </si>
  <si>
    <t>International</t>
  </si>
  <si>
    <t>Industrials</t>
  </si>
  <si>
    <t>Health Care</t>
  </si>
  <si>
    <t>Brazil</t>
  </si>
  <si>
    <t>Japan</t>
  </si>
  <si>
    <t>Technology</t>
  </si>
  <si>
    <t>Real Estate</t>
  </si>
  <si>
    <t>Consumer Discretionary</t>
  </si>
  <si>
    <t>Mexico</t>
  </si>
  <si>
    <t>Hong Kong</t>
  </si>
  <si>
    <t>United Kingdom</t>
  </si>
  <si>
    <t>India</t>
  </si>
  <si>
    <t>Italy</t>
  </si>
  <si>
    <t>Taiwan</t>
  </si>
  <si>
    <t>Korea</t>
  </si>
  <si>
    <t>Germany</t>
  </si>
  <si>
    <t>Malaysia</t>
  </si>
  <si>
    <t>Australia</t>
  </si>
  <si>
    <t>Canada</t>
  </si>
  <si>
    <t>South Africa</t>
  </si>
  <si>
    <t>Singapore</t>
  </si>
  <si>
    <t>Spain</t>
  </si>
  <si>
    <t>Switzerland</t>
  </si>
  <si>
    <t>France</t>
  </si>
  <si>
    <t>Asset Class</t>
  </si>
  <si>
    <t>Commodity</t>
  </si>
  <si>
    <t>Precious Metals</t>
  </si>
  <si>
    <t>Corporate</t>
  </si>
  <si>
    <t>Fixed Income</t>
  </si>
  <si>
    <t>Government</t>
  </si>
  <si>
    <t>Preferred</t>
  </si>
  <si>
    <t>Aggregate Bond</t>
  </si>
  <si>
    <t>Inflation Protected</t>
  </si>
  <si>
    <t>Mortgage-Backed</t>
  </si>
  <si>
    <t>Volume</t>
  </si>
  <si>
    <t>Commodities</t>
  </si>
  <si>
    <t>US Sector ETFs</t>
  </si>
  <si>
    <t>IAU</t>
  </si>
  <si>
    <t>SLV</t>
  </si>
  <si>
    <t>USO</t>
  </si>
  <si>
    <t>AAXJ</t>
  </si>
  <si>
    <t>EWA</t>
  </si>
  <si>
    <t>EWZ</t>
  </si>
  <si>
    <t>DVY</t>
  </si>
  <si>
    <t>VTI</t>
  </si>
  <si>
    <t>EWC</t>
  </si>
  <si>
    <t>FXI</t>
  </si>
  <si>
    <t>XLY</t>
  </si>
  <si>
    <t>XLP</t>
  </si>
  <si>
    <t>EEM</t>
  </si>
  <si>
    <t>XLE</t>
  </si>
  <si>
    <t>EZU</t>
  </si>
  <si>
    <t>XLF</t>
  </si>
  <si>
    <t>EWQ</t>
  </si>
  <si>
    <t>EWG</t>
  </si>
  <si>
    <t>XLV</t>
  </si>
  <si>
    <t>EWH</t>
  </si>
  <si>
    <t>PIN</t>
  </si>
  <si>
    <t>XLI</t>
  </si>
  <si>
    <t>SCZ</t>
  </si>
  <si>
    <t>VEU</t>
  </si>
  <si>
    <t>EFA</t>
  </si>
  <si>
    <t>EWI</t>
  </si>
  <si>
    <t>EWJ</t>
  </si>
  <si>
    <t>EWY</t>
  </si>
  <si>
    <t>VYM</t>
  </si>
  <si>
    <t>IWB</t>
  </si>
  <si>
    <t>RSP</t>
  </si>
  <si>
    <t>IWF</t>
  </si>
  <si>
    <t>IWD</t>
  </si>
  <si>
    <t>DIA</t>
  </si>
  <si>
    <t>SPY</t>
  </si>
  <si>
    <t>ILF</t>
  </si>
  <si>
    <t>EWM</t>
  </si>
  <si>
    <t>XLB</t>
  </si>
  <si>
    <t>EWW</t>
  </si>
  <si>
    <t>MDY</t>
  </si>
  <si>
    <t>RWX</t>
  </si>
  <si>
    <t>EWS</t>
  </si>
  <si>
    <t>IWO</t>
  </si>
  <si>
    <t>IWN</t>
  </si>
  <si>
    <t>IWM</t>
  </si>
  <si>
    <t>EZA</t>
  </si>
  <si>
    <t>EWP</t>
  </si>
  <si>
    <t>EWL</t>
  </si>
  <si>
    <t>EWT</t>
  </si>
  <si>
    <t>XLK</t>
  </si>
  <si>
    <t>EWU</t>
  </si>
  <si>
    <t>XLU</t>
  </si>
  <si>
    <t>MBB</t>
  </si>
  <si>
    <t>BIV</t>
  </si>
  <si>
    <t>BWX</t>
  </si>
  <si>
    <t>BSV</t>
  </si>
  <si>
    <t>PCY</t>
  </si>
  <si>
    <t>TIP</t>
  </si>
  <si>
    <t>SHY</t>
  </si>
  <si>
    <t>IEF</t>
  </si>
  <si>
    <t>EMB</t>
  </si>
  <si>
    <t>AGG</t>
  </si>
  <si>
    <t>PFF</t>
  </si>
  <si>
    <t>LQD</t>
  </si>
  <si>
    <t>TLT</t>
  </si>
  <si>
    <t>HYG</t>
  </si>
  <si>
    <t>Emerging Mrkts</t>
  </si>
  <si>
    <t>Broad Mrkt</t>
  </si>
  <si>
    <t>US Large Cap</t>
  </si>
  <si>
    <t xml:space="preserve">SPDR DJIA </t>
  </si>
  <si>
    <t>Small-Cap</t>
  </si>
  <si>
    <t>Mid-Cap</t>
  </si>
  <si>
    <t>US Mid Cap</t>
  </si>
  <si>
    <t>Guggenheim S&amp;P 500 Equal Weighted</t>
  </si>
  <si>
    <t>US Small Cap</t>
  </si>
  <si>
    <t>Vanguard FTSE All-World EX-US</t>
  </si>
  <si>
    <t>IYR</t>
  </si>
  <si>
    <t>Real Estate - EX-US</t>
  </si>
  <si>
    <t>Asian Pacific ex Japan</t>
  </si>
  <si>
    <t>Latin America</t>
  </si>
  <si>
    <t xml:space="preserve">Consumer Staples </t>
  </si>
  <si>
    <t>SPDR BBG Barclays Intl Treasury</t>
  </si>
  <si>
    <t>iShares Russell 1000 Growth</t>
  </si>
  <si>
    <t>iShares Russell 1000 Value</t>
  </si>
  <si>
    <t>iShares Russell 2000 Growth</t>
  </si>
  <si>
    <t>iShares United Kingdon</t>
  </si>
  <si>
    <t>iShares Switzerland Cap</t>
  </si>
  <si>
    <t>iShares Spain ET</t>
  </si>
  <si>
    <t>iShares EAFE Small-Cap</t>
  </si>
  <si>
    <t>iShares All Country Asia</t>
  </si>
  <si>
    <t>iShares Emerging Mrkt</t>
  </si>
  <si>
    <t>iShares 7-10 Yr Treasury B</t>
  </si>
  <si>
    <t>iShares 1-3 Yr Treasury BO</t>
  </si>
  <si>
    <t>iShares High Yield Bonds</t>
  </si>
  <si>
    <t>iShares Investment Grade</t>
  </si>
  <si>
    <t>iShares Gold Trust</t>
  </si>
  <si>
    <t>iShares Silver Trust</t>
  </si>
  <si>
    <t>Powershares Em Mrkt Sovr Debt</t>
  </si>
  <si>
    <t>Vanguard Intermediate-Term Bond</t>
  </si>
  <si>
    <t>Category</t>
  </si>
  <si>
    <t>Real Estate - US</t>
  </si>
  <si>
    <t>Emerging Mrkt</t>
  </si>
  <si>
    <t>iShares JP Morgan USD Emerging</t>
  </si>
  <si>
    <t>SPDR DJ Intl Real Estate</t>
  </si>
  <si>
    <t>Cash</t>
  </si>
  <si>
    <t>Current Portfolio</t>
  </si>
  <si>
    <t>Total</t>
  </si>
  <si>
    <t>Sub-classification</t>
  </si>
  <si>
    <t># of Shares</t>
  </si>
  <si>
    <t>Current Price</t>
  </si>
  <si>
    <t>Market Value</t>
  </si>
  <si>
    <t>Purchase Price</t>
  </si>
  <si>
    <t>Sell Price</t>
  </si>
  <si>
    <t>Weights</t>
  </si>
  <si>
    <t>Returns</t>
  </si>
  <si>
    <t>Standard Deviation</t>
  </si>
  <si>
    <t>Inputs</t>
  </si>
  <si>
    <t>Total Return</t>
  </si>
  <si>
    <t>Return</t>
  </si>
  <si>
    <t>Portfolio</t>
  </si>
  <si>
    <t>Assets</t>
  </si>
  <si>
    <t>Beta</t>
  </si>
  <si>
    <t>Totals</t>
  </si>
  <si>
    <t>Weight</t>
  </si>
  <si>
    <t>REIT</t>
  </si>
  <si>
    <t>Portfolio Total Value</t>
  </si>
  <si>
    <t>Purchase Date</t>
  </si>
  <si>
    <t>Sell Date</t>
  </si>
  <si>
    <t xml:space="preserve">Financial </t>
  </si>
  <si>
    <t>Large-Cap Growth</t>
  </si>
  <si>
    <t>Large-Cap Blend</t>
  </si>
  <si>
    <t>Large-Cap Value</t>
  </si>
  <si>
    <t>Ex-US Developed Mrkts</t>
  </si>
  <si>
    <t>Developed Mrkts</t>
  </si>
  <si>
    <t>Developed Mrkts Country Specific</t>
  </si>
  <si>
    <t>Emerging Mrkts Country Specific</t>
  </si>
  <si>
    <t>Realized Gain/Loss</t>
  </si>
  <si>
    <t>Current Market Value</t>
  </si>
  <si>
    <t>Initial Cost</t>
  </si>
  <si>
    <t>Unrealized     (+/-)</t>
  </si>
  <si>
    <t>% Realized Return</t>
  </si>
  <si>
    <t>% Unrealized Return</t>
  </si>
  <si>
    <t>Portfolio Total Return</t>
  </si>
  <si>
    <t>Price</t>
  </si>
  <si>
    <t>Actual</t>
  </si>
  <si>
    <t>iShares Core U.S. Aggregate</t>
  </si>
  <si>
    <t>Policy Portfolio</t>
  </si>
  <si>
    <t>US Stock Market</t>
  </si>
  <si>
    <t>US Large Cap Value</t>
  </si>
  <si>
    <t>US Large Cap Growth</t>
  </si>
  <si>
    <t>US Small Cap Value</t>
  </si>
  <si>
    <t>US Small Cap Growth</t>
  </si>
  <si>
    <t>Intl Stock Market</t>
  </si>
  <si>
    <t>Developed Markets</t>
  </si>
  <si>
    <t>International Small Cap</t>
  </si>
  <si>
    <t>International Value</t>
  </si>
  <si>
    <t>European Stocks</t>
  </si>
  <si>
    <t>Pacific Stocks</t>
  </si>
  <si>
    <t>Emerging Markets</t>
  </si>
  <si>
    <t>Short Term Treasury</t>
  </si>
  <si>
    <t>Intermediate Term Treasury</t>
  </si>
  <si>
    <t>Long Term Treasury</t>
  </si>
  <si>
    <t>Total Bond Market</t>
  </si>
  <si>
    <t>TIPS</t>
  </si>
  <si>
    <t>Global Bonds (USD Hedged)</t>
  </si>
  <si>
    <t>Short-Term Investment Grade</t>
  </si>
  <si>
    <t>Corporate Bonds</t>
  </si>
  <si>
    <t>High Yield Corporate Bonds</t>
  </si>
  <si>
    <t>Gold</t>
  </si>
  <si>
    <t>Overall Portfolio</t>
  </si>
  <si>
    <t>Average Weight</t>
  </si>
  <si>
    <t>Weighted Return</t>
  </si>
  <si>
    <t>Tactical Shifts / Macro Environment &amp; Current Portfolio</t>
  </si>
  <si>
    <t>- Overall Risk Objective</t>
  </si>
  <si>
    <t>- Overall Return Objective</t>
  </si>
  <si>
    <t>- Primary Goal</t>
  </si>
  <si>
    <t>Tactical Shifts</t>
  </si>
  <si>
    <t>Macro Environment</t>
  </si>
  <si>
    <t>Total Return:</t>
  </si>
  <si>
    <t>- Reason</t>
  </si>
  <si>
    <t>- Constraints (Time Horizon, Taxes, Liquidity, Legal, Unique)</t>
  </si>
  <si>
    <t>Strategy &amp; Implementation</t>
  </si>
  <si>
    <t>RICE UNIVERSITY  |  COURSERA</t>
  </si>
  <si>
    <t>Portfolio Value</t>
  </si>
  <si>
    <t>Standard</t>
  </si>
  <si>
    <t>Deviation</t>
  </si>
  <si>
    <t>Asset</t>
  </si>
  <si>
    <t>Class</t>
  </si>
  <si>
    <t>Benchmark</t>
  </si>
  <si>
    <t>Policy</t>
  </si>
  <si>
    <t>https://www.ishares.com/us/</t>
  </si>
  <si>
    <t xml:space="preserve">iShares US Real Estate </t>
  </si>
  <si>
    <t xml:space="preserve">Vanguard Total Stock Mrkt </t>
  </si>
  <si>
    <t xml:space="preserve">iShares  Dividend </t>
  </si>
  <si>
    <t xml:space="preserve">SPDR S&amp;P 500  </t>
  </si>
  <si>
    <t xml:space="preserve">iShares Russell 1000 </t>
  </si>
  <si>
    <t xml:space="preserve">Vanguard High Dividend Yield </t>
  </si>
  <si>
    <t xml:space="preserve">SPDR S&amp;P MidCap 400  </t>
  </si>
  <si>
    <t xml:space="preserve">iShares Russell 2000 </t>
  </si>
  <si>
    <t xml:space="preserve">SPDR Consumer Discretionary </t>
  </si>
  <si>
    <t xml:space="preserve">SPDR Consumer Staples </t>
  </si>
  <si>
    <t xml:space="preserve">SPDR Energy </t>
  </si>
  <si>
    <t xml:space="preserve">SPDR Financials </t>
  </si>
  <si>
    <t xml:space="preserve">SPDR Health Care </t>
  </si>
  <si>
    <t xml:space="preserve">SPDR Industrials </t>
  </si>
  <si>
    <t xml:space="preserve">SPDR Materials </t>
  </si>
  <si>
    <t xml:space="preserve">SPDR Technology  </t>
  </si>
  <si>
    <t xml:space="preserve">SPDR Utilities </t>
  </si>
  <si>
    <t xml:space="preserve">iShares Eurozone </t>
  </si>
  <si>
    <t xml:space="preserve">iShares EAFE </t>
  </si>
  <si>
    <t xml:space="preserve">iShares Italy </t>
  </si>
  <si>
    <t xml:space="preserve">iShares Japan </t>
  </si>
  <si>
    <t xml:space="preserve">iShares Hong Kong </t>
  </si>
  <si>
    <t xml:space="preserve">iShares France </t>
  </si>
  <si>
    <t xml:space="preserve">iShares Germany </t>
  </si>
  <si>
    <t xml:space="preserve">iShares Australia </t>
  </si>
  <si>
    <t xml:space="preserve">iShares Canada </t>
  </si>
  <si>
    <t xml:space="preserve">iShares Singapore </t>
  </si>
  <si>
    <t xml:space="preserve">iShares Malaysia </t>
  </si>
  <si>
    <t xml:space="preserve">iShares Mexico </t>
  </si>
  <si>
    <t xml:space="preserve">iShares Latin America 40 </t>
  </si>
  <si>
    <t xml:space="preserve">iShares Brazil </t>
  </si>
  <si>
    <t xml:space="preserve">iShares South Korea </t>
  </si>
  <si>
    <t xml:space="preserve">Powershares India </t>
  </si>
  <si>
    <t xml:space="preserve">iShares China Large-Cap </t>
  </si>
  <si>
    <t xml:space="preserve">iShares South Africa </t>
  </si>
  <si>
    <t xml:space="preserve">iShares Taiwan </t>
  </si>
  <si>
    <t xml:space="preserve">Vanguard Short-Term Bond </t>
  </si>
  <si>
    <t xml:space="preserve">iShares MBS </t>
  </si>
  <si>
    <t xml:space="preserve">iShares US Preferred Stock </t>
  </si>
  <si>
    <t xml:space="preserve">iShares TIPS Bond </t>
  </si>
  <si>
    <t>iShares Russell 2000 Value</t>
  </si>
  <si>
    <t>Emerging Mrkt Bonds (USD Hedged)</t>
  </si>
  <si>
    <t>Silver</t>
  </si>
  <si>
    <t>Oil</t>
  </si>
  <si>
    <t>Intermediate-Term Investment Grade</t>
  </si>
  <si>
    <t>Emerging Mrkt Bonds (Not Hedged)</t>
  </si>
  <si>
    <t>Investment Grade Corporate Bonds</t>
  </si>
  <si>
    <t>iShares Website</t>
  </si>
  <si>
    <t>SPDR Website</t>
  </si>
  <si>
    <t>iPath</t>
  </si>
  <si>
    <t>Invesco PowerShares</t>
  </si>
  <si>
    <t>https://www.invesco.com/portal/site/us/investors/etfs/</t>
  </si>
  <si>
    <t>Vanguard ETFs</t>
  </si>
  <si>
    <t>https://investor.vanguard.com/etf/</t>
  </si>
  <si>
    <t>Asset 1</t>
  </si>
  <si>
    <t>Asset 2</t>
  </si>
  <si>
    <t>Asset 3</t>
  </si>
  <si>
    <t>Asset 4</t>
  </si>
  <si>
    <t>Asset 5</t>
  </si>
  <si>
    <t>Asset 6</t>
  </si>
  <si>
    <t>Asset 7</t>
  </si>
  <si>
    <t>Asset 8</t>
  </si>
  <si>
    <t>Asset 9</t>
  </si>
  <si>
    <t>ETF-Used</t>
  </si>
  <si>
    <t>Weighting</t>
  </si>
  <si>
    <t>US Equity</t>
  </si>
  <si>
    <t>International Equity</t>
  </si>
  <si>
    <t>Bonds</t>
  </si>
  <si>
    <t>Alternatives &amp; Commodities</t>
  </si>
  <si>
    <t>Asset Classes</t>
  </si>
  <si>
    <t>Fund Inception Date</t>
  </si>
  <si>
    <t>All-World Ex-US</t>
  </si>
  <si>
    <t>International Small-Cap</t>
  </si>
  <si>
    <t>iShares 20+ Yr Treasury</t>
  </si>
  <si>
    <t>Intermediate-Term Corporate Bonds</t>
  </si>
  <si>
    <t>International - Developed Markets</t>
  </si>
  <si>
    <t>Description</t>
  </si>
  <si>
    <t>US_Equity</t>
  </si>
  <si>
    <t>Intl_Equity</t>
  </si>
  <si>
    <t>Week 1</t>
  </si>
  <si>
    <t>Week 2</t>
  </si>
  <si>
    <t>Week 3</t>
  </si>
  <si>
    <t>Week 4</t>
  </si>
  <si>
    <t>Week 5</t>
  </si>
  <si>
    <t>Total Policy Portfolio</t>
  </si>
  <si>
    <t>Beginning</t>
  </si>
  <si>
    <t>Intl Small Cap</t>
  </si>
  <si>
    <t>All World Ex-US</t>
  </si>
  <si>
    <t>iShares Intl Small Cap</t>
  </si>
  <si>
    <t>iShares 7-10 Yr Treasury</t>
  </si>
  <si>
    <t>iShares 1-3 Yr Treasury</t>
  </si>
  <si>
    <t>Weekly Returns</t>
  </si>
  <si>
    <t>Market Values</t>
  </si>
  <si>
    <t>Begin</t>
  </si>
  <si>
    <t>Average</t>
  </si>
  <si>
    <t>Base 0</t>
  </si>
  <si>
    <t>Website</t>
  </si>
  <si>
    <t>ETF Reference</t>
  </si>
  <si>
    <t>United States Commodity Fund - Oil</t>
  </si>
  <si>
    <t>http://www.uscfinvestments.com/</t>
  </si>
  <si>
    <t>https://us.spdrs.com/en/product/index.seam</t>
  </si>
  <si>
    <t>Share Calculator</t>
  </si>
  <si>
    <t>Share Price</t>
  </si>
  <si>
    <t>Adjusted Weighted Return</t>
  </si>
  <si>
    <t>Summary</t>
  </si>
  <si>
    <t>Alternatives</t>
  </si>
  <si>
    <t>Bonds - US Treasuries</t>
  </si>
  <si>
    <t>Bonds - International</t>
  </si>
  <si>
    <t>Bonds - Aggregate</t>
  </si>
  <si>
    <t>Bonds - High Yield Corporates</t>
  </si>
  <si>
    <t>Bonds - Investment Grade Corporates</t>
  </si>
  <si>
    <t>Bonds -Misc</t>
  </si>
  <si>
    <t>Correlation with Benchmark</t>
  </si>
  <si>
    <t>% Desired</t>
  </si>
  <si>
    <t>Intl Equity</t>
  </si>
  <si>
    <t>Reference Page</t>
  </si>
  <si>
    <t>Historical Efficient Frontier</t>
  </si>
  <si>
    <t>Forecasted Efficient Frontier</t>
  </si>
  <si>
    <t>Prices as of:</t>
  </si>
  <si>
    <t>Small-Cap Growth</t>
  </si>
  <si>
    <t>US Government</t>
  </si>
  <si>
    <t>Sovereigns</t>
  </si>
  <si>
    <t>Small-Cap Blend</t>
  </si>
  <si>
    <t>Mid-Cap Blend</t>
  </si>
  <si>
    <t>US Small-Cap Value</t>
  </si>
  <si>
    <t>US Small-Cap Growth</t>
  </si>
  <si>
    <t>Small-Cap Value</t>
  </si>
  <si>
    <t>Current</t>
  </si>
  <si>
    <t>Portfolio Returns</t>
  </si>
  <si>
    <t>Weighted Returns</t>
  </si>
  <si>
    <t>Weekly Summary</t>
  </si>
  <si>
    <t>Very Low</t>
  </si>
  <si>
    <t>Low</t>
  </si>
  <si>
    <t>Moderate</t>
  </si>
  <si>
    <t>High</t>
  </si>
  <si>
    <t>Very High</t>
  </si>
  <si>
    <t>Risk Levels</t>
  </si>
  <si>
    <t>Price Inputs</t>
  </si>
  <si>
    <t>Ticker Number</t>
  </si>
  <si>
    <t>Calculations Tab</t>
  </si>
  <si>
    <t>#</t>
  </si>
  <si>
    <t>* Current Price</t>
  </si>
  <si>
    <t>Values of the Policy Portfolio by Week</t>
  </si>
  <si>
    <t>Expected Return</t>
  </si>
  <si>
    <t>Portfolio Weighting</t>
  </si>
  <si>
    <t>Benchmark Weighting</t>
  </si>
  <si>
    <t>Portfolio Return</t>
  </si>
  <si>
    <t>Benchmark Return</t>
  </si>
  <si>
    <t>Annualized
Returns</t>
  </si>
  <si>
    <t>Average
Weight</t>
  </si>
  <si>
    <t>Sharpe
Ratio</t>
  </si>
  <si>
    <t>Investment Strategy</t>
  </si>
  <si>
    <t>Investment Strategy &amp; Policy Portfolio</t>
  </si>
  <si>
    <t>Monday of Portfolio Begin Date:</t>
  </si>
  <si>
    <t>Performance Discussion</t>
  </si>
  <si>
    <t>Efficient Frontiers</t>
  </si>
  <si>
    <t>Behavioral Biases</t>
  </si>
  <si>
    <t>Additional Cash</t>
  </si>
  <si>
    <t>Initial Cash Position For Trading</t>
  </si>
  <si>
    <t>&lt;-- Number of Shares</t>
  </si>
  <si>
    <t>Transaction Value</t>
  </si>
  <si>
    <t>Trades</t>
  </si>
  <si>
    <t>Initial Additional Cash</t>
  </si>
  <si>
    <t>Policy Portfolio (Initial Trades)</t>
  </si>
  <si>
    <t>Buy/Sell</t>
  </si>
  <si>
    <t>Transaction Date</t>
  </si>
  <si>
    <t>Held</t>
  </si>
  <si>
    <t>Position Number for Current Portfolio</t>
  </si>
  <si>
    <t>New Buys</t>
  </si>
  <si>
    <t>Buys</t>
  </si>
  <si>
    <t>Trade</t>
  </si>
  <si>
    <t>New Tactical Positions</t>
  </si>
  <si>
    <t>Policy/ Tactical</t>
  </si>
  <si>
    <t>&lt;-- Remaining Cash Value (Policy Portfolio)</t>
  </si>
  <si>
    <t>&lt;-- Remaining Cash Value (Current Portfolio)</t>
  </si>
  <si>
    <t>Purchase # of Shares</t>
  </si>
  <si>
    <t>Sell # of Shares</t>
  </si>
  <si>
    <t>Cost Basis Deduction</t>
  </si>
  <si>
    <t>Total Cost Basis</t>
  </si>
  <si>
    <t>Number of Shares Purchased</t>
  </si>
  <si>
    <t>Average Purchase Price</t>
  </si>
  <si>
    <t>Market Value UnSold Stock</t>
  </si>
  <si>
    <t>Weighted Average Share Cost</t>
  </si>
  <si>
    <t># of Shares Sold</t>
  </si>
  <si>
    <t>Average Sell Price</t>
  </si>
  <si>
    <t>Number of Shares Sold</t>
  </si>
  <si>
    <t>Total Sell Value</t>
  </si>
  <si>
    <t>Unrealized Return</t>
  </si>
  <si>
    <t>Realized Return</t>
  </si>
  <si>
    <t>Return vs. Benchmark</t>
  </si>
  <si>
    <t>Correlation Matrix</t>
  </si>
  <si>
    <t>Paste Policy Portfolio Correlation Matrix Below (Portfolio Visualizer)</t>
  </si>
  <si>
    <t>Policy Portfolio Pie Chart</t>
  </si>
  <si>
    <t>Current Portfolio Pie Chart</t>
  </si>
  <si>
    <t xml:space="preserve">Policy Portfolio </t>
  </si>
  <si>
    <t>Prices</t>
  </si>
  <si>
    <t>Amount</t>
  </si>
  <si>
    <t>Calculations Below</t>
  </si>
  <si>
    <t xml:space="preserve">Realized Returns For Entire Period </t>
  </si>
  <si>
    <t>Unrealized Returns</t>
  </si>
  <si>
    <t>Average Weights</t>
  </si>
  <si>
    <t xml:space="preserve">Historical </t>
  </si>
  <si>
    <t>End Market Value Stock Held</t>
  </si>
  <si>
    <t>Market Value Stock Sold</t>
  </si>
  <si>
    <t>Total  Return</t>
  </si>
  <si>
    <t>Total Return (%)</t>
  </si>
  <si>
    <t xml:space="preserve">Avg. </t>
  </si>
  <si>
    <t>Tactical Positions</t>
  </si>
  <si>
    <t>&lt;-- Policy Portfolio Total Weighting</t>
  </si>
  <si>
    <t>&lt;-- Actual Policy Portfolio Weighting</t>
  </si>
  <si>
    <t>Portfolio Standard Deviation:</t>
  </si>
  <si>
    <t>Performance &amp; Risks</t>
  </si>
  <si>
    <t>Correlation with Benchmark:</t>
  </si>
  <si>
    <t>Beta (Relative to Benchmark):</t>
  </si>
  <si>
    <t>Historical</t>
  </si>
  <si>
    <t>Expected</t>
  </si>
  <si>
    <t>% Realized
 Return</t>
  </si>
  <si>
    <t>Annualized</t>
  </si>
  <si>
    <t>Average
Historical Cost</t>
  </si>
  <si>
    <t>Average
Sell Price</t>
  </si>
  <si>
    <t>Realized
(+/-)</t>
  </si>
  <si>
    <t>Percentage 
of Entire Portfolio</t>
  </si>
  <si>
    <t>Unrealized (+/-)</t>
  </si>
  <si>
    <t>Policy Portfolio Return:</t>
  </si>
  <si>
    <t>+ / - Performance:</t>
  </si>
  <si>
    <t>&lt;-- Actual Tactical Positions Weighting</t>
  </si>
  <si>
    <t>Risk &amp; Returns</t>
  </si>
  <si>
    <t>Current Portfolio Overview</t>
  </si>
  <si>
    <t># of Shares to Buy / Sell</t>
  </si>
  <si>
    <t xml:space="preserve">*** Portfolio Visualizer website: </t>
  </si>
  <si>
    <t xml:space="preserve">https://www.portfoliovisualizer.com/ </t>
  </si>
  <si>
    <t>* Data: As of December 30, 2016</t>
  </si>
  <si>
    <t>Adjusted
Cost Basis *</t>
  </si>
  <si>
    <t>Current Price  **</t>
  </si>
  <si>
    <t>* Adjusted Cost Basis takes a weighted average of share purchases</t>
  </si>
  <si>
    <t>** Current price is equal to the price on the Price Inputs tab, if no price is availablethe historical cost will be used</t>
  </si>
  <si>
    <t>Sim Investment Management</t>
  </si>
  <si>
    <t>Growth</t>
  </si>
  <si>
    <t>capital growth</t>
  </si>
  <si>
    <t>1999-2021</t>
  </si>
  <si>
    <t>Buy</t>
  </si>
  <si>
    <t>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</si>
</sst>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quot;$&quot;#,##0_);\(&quot;$&quot;#,##0\)"/>
    <numFmt numFmtId="165" formatCode="&quot;$&quot;#,##0.00_);\(&quot;$&quot;#,##0.00\)"/>
    <numFmt numFmtId="166" formatCode="_(&quot;$&quot;* #,##0.00_);_(&quot;$&quot;* \(#,##0.00\);_(&quot;$&quot;* &quot;-&quot;??_);_(@_)"/>
    <numFmt numFmtId="167" formatCode="_(* #,##0_);_(* \(#,##0\);_(* &quot;-&quot;??_);_(@_)"/>
    <numFmt numFmtId="168" formatCode="_(&quot;$&quot;* #,##0_);_(&quot;$&quot;* \(#,##0\);_(&quot;$&quot;* &quot;-&quot;??_);_(@_)"/>
    <numFmt numFmtId="169" formatCode="0.0%"/>
    <numFmt numFmtId="170" formatCode="0.0"/>
    <numFmt numFmtId="171" formatCode="_-* #,##0.00_-;\-* #,##0.00_-;_-* &quot;-&quot;??_-;_-@_-"/>
    <numFmt numFmtId="172" formatCode="_-* #,##0.0_-;\-* #,##0.0_-;_-* &quot;-&quot;??_-;_-@_-"/>
    <numFmt numFmtId="173" formatCode="#,##0.0_);\(#,##0.0\);@_)"/>
    <numFmt numFmtId="174" formatCode="&quot;$&quot;#,##0.00"/>
    <numFmt numFmtId="175" formatCode="_(&quot;$&quot;* #,##0.0_);_(&quot;$&quot;* \(#,##0.0\);_(&quot;$&quot;* &quot;-&quot;??_);_(@_)"/>
    <numFmt numFmtId="176" formatCode="&quot;$&quot;#,##0"/>
    <numFmt numFmtId="177" formatCode="m/d/yyyy;@"/>
  </numFmts>
  <fonts count="6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b/>
      <sz val="11"/>
      <color theme="0"/>
      <name val="Calibri"/>
      <family val="2"/>
      <scheme val="minor"/>
    </font>
    <font>
      <b/>
      <sz val="16"/>
      <color theme="1"/>
      <name val="Calibri"/>
      <family val="2"/>
      <scheme val="minor"/>
    </font>
    <font>
      <b/>
      <sz val="14"/>
      <color theme="1"/>
      <name val="Calibri"/>
      <family val="2"/>
      <scheme val="minor"/>
    </font>
    <font>
      <sz val="11"/>
      <color rgb="FF0070C0"/>
      <name val="Calibri"/>
      <family val="2"/>
      <scheme val="minor"/>
    </font>
    <font>
      <b/>
      <sz val="12"/>
      <color theme="1"/>
      <name val="Calibri"/>
      <family val="2"/>
      <scheme val="minor"/>
    </font>
    <font>
      <sz val="11"/>
      <color theme="1"/>
      <name val="Calibri"/>
      <family val="2"/>
    </font>
    <font>
      <b/>
      <sz val="22"/>
      <color theme="1"/>
      <name val="Calibri"/>
      <family val="2"/>
    </font>
    <font>
      <sz val="11"/>
      <color theme="0"/>
      <name val="Calibri"/>
      <family val="2"/>
    </font>
    <font>
      <sz val="11"/>
      <name val="Calibri"/>
      <family val="2"/>
    </font>
    <font>
      <sz val="11"/>
      <color rgb="FFFF0000"/>
      <name val="Calibri"/>
      <family val="2"/>
    </font>
    <font>
      <sz val="24"/>
      <color rgb="FF002060"/>
      <name val="Times New Roman"/>
      <family val="1"/>
    </font>
    <font>
      <b/>
      <sz val="11"/>
      <color theme="0"/>
      <name val="Calibri"/>
      <family val="2"/>
    </font>
    <font>
      <b/>
      <sz val="11"/>
      <color theme="1"/>
      <name val="Calibri"/>
      <family val="2"/>
    </font>
    <font>
      <sz val="10"/>
      <name val="Calibri"/>
      <family val="2"/>
    </font>
    <font>
      <b/>
      <sz val="18"/>
      <color theme="0"/>
      <name val="Times New Roman"/>
      <family val="1"/>
    </font>
    <font>
      <sz val="11"/>
      <name val="Calibri"/>
      <family val="2"/>
      <scheme val="minor"/>
    </font>
    <font>
      <b/>
      <sz val="12"/>
      <color theme="0"/>
      <name val="Calibri"/>
      <family val="2"/>
    </font>
    <font>
      <sz val="12"/>
      <color theme="0"/>
      <name val="Calibri"/>
      <family val="2"/>
    </font>
    <font>
      <b/>
      <sz val="12"/>
      <color theme="1"/>
      <name val="Calibri"/>
      <family val="2"/>
    </font>
    <font>
      <sz val="12"/>
      <color theme="1"/>
      <name val="Calibri"/>
      <family val="2"/>
    </font>
    <font>
      <sz val="11"/>
      <color theme="2" tint="-0.249977111117893"/>
      <name val="Calibri"/>
      <family val="2"/>
    </font>
    <font>
      <b/>
      <sz val="16"/>
      <color theme="0"/>
      <name val="Calibri"/>
      <family val="2"/>
    </font>
    <font>
      <b/>
      <sz val="11"/>
      <name val="Calibri"/>
      <family val="2"/>
    </font>
    <font>
      <b/>
      <sz val="11"/>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b/>
      <sz val="20"/>
      <name val="Calibri"/>
      <family val="2"/>
      <scheme val="minor"/>
    </font>
    <font>
      <b/>
      <sz val="12"/>
      <color rgb="FF0070C0"/>
      <name val="Calibri"/>
      <family val="2"/>
    </font>
    <font>
      <b/>
      <sz val="12"/>
      <color theme="0"/>
      <name val="Calibri"/>
      <family val="2"/>
      <scheme val="minor"/>
    </font>
    <font>
      <sz val="11"/>
      <color theme="0" tint="-4.9989318521683403E-2"/>
      <name val="Calibri"/>
      <family val="2"/>
      <scheme val="minor"/>
    </font>
    <font>
      <sz val="8"/>
      <color theme="1"/>
      <name val="Calibri"/>
      <family val="2"/>
      <scheme val="minor"/>
    </font>
    <font>
      <sz val="11"/>
      <color rgb="FFFF0000"/>
      <name val="Calibri"/>
      <family val="2"/>
      <scheme val="minor"/>
    </font>
    <font>
      <sz val="11"/>
      <color theme="0" tint="-0.14999847407452621"/>
      <name val="Calibri"/>
      <family val="2"/>
      <scheme val="minor"/>
    </font>
    <font>
      <b/>
      <sz val="11"/>
      <color theme="0" tint="-0.14999847407452621"/>
      <name val="Calibri"/>
      <family val="2"/>
      <scheme val="minor"/>
    </font>
    <font>
      <b/>
      <sz val="11"/>
      <color rgb="FFFF0000"/>
      <name val="Calibri"/>
      <family val="2"/>
      <scheme val="minor"/>
    </font>
    <font>
      <b/>
      <sz val="14"/>
      <name val="Calibri"/>
      <family val="2"/>
      <scheme val="minor"/>
    </font>
    <font>
      <b/>
      <sz val="16"/>
      <name val="Calibri"/>
      <family val="2"/>
    </font>
    <font>
      <b/>
      <sz val="14"/>
      <name val="Calibri"/>
      <family val="2"/>
    </font>
    <font>
      <sz val="10.5"/>
      <color theme="1"/>
      <name val="Calibri"/>
      <family val="2"/>
    </font>
    <font>
      <b/>
      <sz val="10.5"/>
      <color theme="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2"/>
      <name val="Calibri"/>
      <family val="2"/>
    </font>
    <font>
      <sz val="12"/>
      <color rgb="FF0070C0"/>
      <name val="Calibri"/>
      <family val="2"/>
      <scheme val="minor"/>
    </font>
    <font>
      <sz val="16"/>
      <name val="Calibri"/>
      <family val="2"/>
    </font>
    <font>
      <b/>
      <sz val="11"/>
      <color rgb="FF0070C0"/>
      <name val="Calibri"/>
      <family val="2"/>
      <scheme val="minor"/>
    </font>
    <font>
      <b/>
      <sz val="11"/>
      <color theme="2" tint="-0.249977111117893"/>
      <name val="Calibri"/>
      <family val="2"/>
    </font>
    <font>
      <i/>
      <sz val="9"/>
      <color theme="1"/>
      <name val="Calibri"/>
      <family val="2"/>
      <scheme val="minor"/>
    </font>
    <font>
      <sz val="10"/>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rgb="FF002060"/>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rgb="FF000000"/>
      </patternFill>
    </fill>
  </fills>
  <borders count="3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43" fontId="1" fillId="0" borderId="0" applyFont="0" applyFill="0" applyBorder="0" applyAlignment="0" applyProtection="0"/>
    <xf numFmtId="0" fontId="4" fillId="0" borderId="0"/>
    <xf numFmtId="166"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0" fillId="0" borderId="0"/>
    <xf numFmtId="171" fontId="18" fillId="0" borderId="0" applyFont="0" applyFill="0" applyBorder="0" applyAlignment="0" applyProtection="0"/>
    <xf numFmtId="9" fontId="18" fillId="0" borderId="0" applyFont="0" applyFill="0" applyBorder="0" applyAlignment="0" applyProtection="0"/>
    <xf numFmtId="0" fontId="18" fillId="0" borderId="0"/>
    <xf numFmtId="0" fontId="31" fillId="0" borderId="0" applyNumberFormat="0" applyFill="0" applyBorder="0" applyAlignment="0" applyProtection="0"/>
    <xf numFmtId="0" fontId="46" fillId="0" borderId="0" applyNumberFormat="0" applyFill="0" applyBorder="0" applyAlignment="0" applyProtection="0"/>
    <xf numFmtId="0" fontId="47" fillId="0" borderId="24" applyNumberFormat="0" applyFill="0" applyAlignment="0" applyProtection="0"/>
    <xf numFmtId="0" fontId="48" fillId="0" borderId="25" applyNumberFormat="0" applyFill="0" applyAlignment="0" applyProtection="0"/>
    <xf numFmtId="0" fontId="49" fillId="0" borderId="26" applyNumberFormat="0" applyFill="0" applyAlignment="0" applyProtection="0"/>
    <xf numFmtId="0" fontId="49" fillId="0" borderId="0" applyNumberFormat="0" applyFill="0" applyBorder="0" applyAlignment="0" applyProtection="0"/>
    <xf numFmtId="0" fontId="50" fillId="13" borderId="0" applyNumberFormat="0" applyBorder="0" applyAlignment="0" applyProtection="0"/>
    <xf numFmtId="0" fontId="51" fillId="14" borderId="0" applyNumberFormat="0" applyBorder="0" applyAlignment="0" applyProtection="0"/>
    <xf numFmtId="0" fontId="52" fillId="15" borderId="0" applyNumberFormat="0" applyBorder="0" applyAlignment="0" applyProtection="0"/>
    <xf numFmtId="0" fontId="53" fillId="16" borderId="27" applyNumberFormat="0" applyAlignment="0" applyProtection="0"/>
    <xf numFmtId="0" fontId="54" fillId="17" borderId="28" applyNumberFormat="0" applyAlignment="0" applyProtection="0"/>
    <xf numFmtId="0" fontId="55" fillId="17" borderId="27" applyNumberFormat="0" applyAlignment="0" applyProtection="0"/>
    <xf numFmtId="0" fontId="56" fillId="0" borderId="29" applyNumberFormat="0" applyFill="0" applyAlignment="0" applyProtection="0"/>
    <xf numFmtId="0" fontId="5" fillId="18" borderId="30" applyNumberFormat="0" applyAlignment="0" applyProtection="0"/>
    <xf numFmtId="0" fontId="37" fillId="0" borderId="0" applyNumberFormat="0" applyFill="0" applyBorder="0" applyAlignment="0" applyProtection="0"/>
    <xf numFmtId="0" fontId="1" fillId="19" borderId="31" applyNumberFormat="0" applyFont="0" applyAlignment="0" applyProtection="0"/>
    <xf numFmtId="0" fontId="57" fillId="0" borderId="0" applyNumberFormat="0" applyFill="0" applyBorder="0" applyAlignment="0" applyProtection="0"/>
    <xf numFmtId="0" fontId="2" fillId="0" borderId="32" applyNumberFormat="0" applyFill="0" applyAlignment="0" applyProtection="0"/>
    <xf numFmtId="0" fontId="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3" fillId="43" borderId="0" applyNumberFormat="0" applyBorder="0" applyAlignment="0" applyProtection="0"/>
  </cellStyleXfs>
  <cellXfs count="713">
    <xf numFmtId="0" fontId="0" fillId="0" borderId="0" xfId="0"/>
    <xf numFmtId="0" fontId="0" fillId="0" borderId="0" xfId="0" applyAlignment="1">
      <alignment horizontal="center"/>
    </xf>
    <xf numFmtId="0" fontId="6" fillId="0" borderId="0" xfId="0" applyFont="1"/>
    <xf numFmtId="0" fontId="7" fillId="0" borderId="0" xfId="0" applyFont="1"/>
    <xf numFmtId="0" fontId="2" fillId="0" borderId="0" xfId="0" applyFont="1"/>
    <xf numFmtId="0" fontId="0" fillId="0" borderId="0" xfId="0" applyAlignment="1">
      <alignment vertical="center"/>
    </xf>
    <xf numFmtId="14" fontId="0" fillId="0" borderId="0" xfId="0" applyNumberFormat="1"/>
    <xf numFmtId="0" fontId="0" fillId="0" borderId="0" xfId="0" applyFill="1" applyBorder="1"/>
    <xf numFmtId="10" fontId="0" fillId="0" borderId="0" xfId="5" applyNumberFormat="1" applyFont="1"/>
    <xf numFmtId="169" fontId="0" fillId="0" borderId="0" xfId="5" applyNumberFormat="1" applyFont="1"/>
    <xf numFmtId="0" fontId="10" fillId="0" borderId="0" xfId="7"/>
    <xf numFmtId="0" fontId="11" fillId="4" borderId="0" xfId="7" applyFont="1" applyFill="1"/>
    <xf numFmtId="0" fontId="10" fillId="4" borderId="0" xfId="7" applyFill="1"/>
    <xf numFmtId="0" fontId="10" fillId="0" borderId="0" xfId="7" applyFill="1"/>
    <xf numFmtId="0" fontId="14" fillId="4" borderId="0" xfId="7" applyFont="1" applyFill="1"/>
    <xf numFmtId="168" fontId="0" fillId="0" borderId="0" xfId="0" applyNumberFormat="1"/>
    <xf numFmtId="0" fontId="16" fillId="10" borderId="0" xfId="7" applyFont="1" applyFill="1" applyBorder="1" applyAlignment="1">
      <alignment horizontal="centerContinuous"/>
    </xf>
    <xf numFmtId="0" fontId="19" fillId="10" borderId="0" xfId="7" applyFont="1" applyFill="1" applyBorder="1" applyAlignment="1">
      <alignment horizontal="centerContinuous" vertical="center"/>
    </xf>
    <xf numFmtId="0" fontId="3" fillId="10" borderId="0" xfId="0" applyFont="1" applyFill="1"/>
    <xf numFmtId="0" fontId="3" fillId="11" borderId="0" xfId="0" applyFont="1" applyFill="1"/>
    <xf numFmtId="167" fontId="0" fillId="2" borderId="0" xfId="1" applyNumberFormat="1" applyFont="1" applyFill="1"/>
    <xf numFmtId="168" fontId="0" fillId="2" borderId="0" xfId="6" applyNumberFormat="1" applyFont="1" applyFill="1"/>
    <xf numFmtId="0" fontId="14" fillId="4" borderId="0" xfId="7" applyFont="1" applyFill="1" applyAlignment="1">
      <alignment horizontal="left"/>
    </xf>
    <xf numFmtId="0" fontId="20" fillId="0" borderId="0" xfId="2" applyFont="1" applyBorder="1"/>
    <xf numFmtId="0" fontId="1" fillId="0" borderId="0" xfId="2" applyFont="1" applyFill="1" applyBorder="1"/>
    <xf numFmtId="166" fontId="20" fillId="0" borderId="0" xfId="2" applyNumberFormat="1" applyFont="1" applyBorder="1"/>
    <xf numFmtId="0" fontId="28" fillId="0" borderId="0" xfId="2" applyFont="1" applyBorder="1" applyAlignment="1">
      <alignment horizontal="center"/>
    </xf>
    <xf numFmtId="0" fontId="28" fillId="0" borderId="0" xfId="2" applyFont="1" applyBorder="1" applyAlignment="1">
      <alignment horizontal="center" wrapText="1"/>
    </xf>
    <xf numFmtId="0" fontId="2" fillId="0" borderId="0" xfId="2" applyFont="1" applyFill="1" applyBorder="1" applyAlignment="1">
      <alignment horizontal="center" wrapText="1"/>
    </xf>
    <xf numFmtId="0" fontId="1" fillId="0" borderId="0" xfId="2" applyFont="1" applyBorder="1"/>
    <xf numFmtId="0" fontId="20" fillId="4" borderId="0" xfId="2" applyNumberFormat="1" applyFont="1" applyFill="1" applyBorder="1"/>
    <xf numFmtId="0" fontId="20" fillId="4" borderId="0" xfId="2" applyFont="1" applyFill="1" applyBorder="1"/>
    <xf numFmtId="43" fontId="1" fillId="4" borderId="0" xfId="1" applyFont="1" applyFill="1" applyBorder="1"/>
    <xf numFmtId="9" fontId="0" fillId="0" borderId="0" xfId="0" applyNumberFormat="1"/>
    <xf numFmtId="9" fontId="0" fillId="0" borderId="0" xfId="0" applyNumberFormat="1" applyAlignment="1">
      <alignment horizontal="center"/>
    </xf>
    <xf numFmtId="14" fontId="8" fillId="5" borderId="0" xfId="0" applyNumberFormat="1" applyFont="1" applyFill="1"/>
    <xf numFmtId="0" fontId="25" fillId="0" borderId="0" xfId="2" applyFont="1" applyFill="1" applyBorder="1"/>
    <xf numFmtId="0" fontId="10" fillId="0" borderId="0" xfId="2" applyFont="1" applyFill="1" applyBorder="1"/>
    <xf numFmtId="14" fontId="10" fillId="0" borderId="0" xfId="2" applyNumberFormat="1" applyFont="1" applyFill="1" applyBorder="1"/>
    <xf numFmtId="166" fontId="10" fillId="0" borderId="0" xfId="6" applyFont="1" applyFill="1" applyBorder="1"/>
    <xf numFmtId="168" fontId="10" fillId="0" borderId="0" xfId="6" applyNumberFormat="1" applyFont="1" applyFill="1" applyBorder="1"/>
    <xf numFmtId="168" fontId="10" fillId="0" borderId="0" xfId="6" quotePrefix="1" applyNumberFormat="1" applyFont="1" applyFill="1" applyBorder="1"/>
    <xf numFmtId="168" fontId="10" fillId="0" borderId="0" xfId="2" applyNumberFormat="1" applyFont="1" applyFill="1" applyBorder="1"/>
    <xf numFmtId="9" fontId="10" fillId="0" borderId="0" xfId="5" quotePrefix="1" applyFont="1" applyFill="1" applyBorder="1" applyAlignment="1">
      <alignment horizontal="right" indent="2"/>
    </xf>
    <xf numFmtId="43" fontId="25" fillId="0" borderId="0" xfId="1" applyFont="1" applyFill="1" applyBorder="1"/>
    <xf numFmtId="0" fontId="13" fillId="0" borderId="0" xfId="2" applyFont="1" applyFill="1" applyBorder="1"/>
    <xf numFmtId="0" fontId="13" fillId="0" borderId="0" xfId="2" applyFont="1" applyFill="1" applyBorder="1" applyAlignment="1">
      <alignment horizontal="center"/>
    </xf>
    <xf numFmtId="166" fontId="0" fillId="2" borderId="0" xfId="6" applyNumberFormat="1" applyFont="1" applyFill="1"/>
    <xf numFmtId="9" fontId="0" fillId="2" borderId="0" xfId="5" applyFont="1" applyFill="1"/>
    <xf numFmtId="0" fontId="5" fillId="10" borderId="0" xfId="2" applyFont="1" applyFill="1" applyBorder="1" applyAlignment="1">
      <alignment horizontal="center"/>
    </xf>
    <xf numFmtId="0" fontId="5" fillId="10" borderId="0" xfId="2" applyNumberFormat="1" applyFont="1" applyFill="1" applyBorder="1" applyAlignment="1">
      <alignment horizontal="center" wrapText="1"/>
    </xf>
    <xf numFmtId="0" fontId="5" fillId="10" borderId="0" xfId="2" applyFont="1" applyFill="1" applyBorder="1" applyAlignment="1">
      <alignment horizontal="center" wrapText="1"/>
    </xf>
    <xf numFmtId="0" fontId="3" fillId="10" borderId="0" xfId="0" applyFont="1" applyFill="1" applyBorder="1" applyAlignment="1">
      <alignment horizontal="center"/>
    </xf>
    <xf numFmtId="0" fontId="0" fillId="0" borderId="0" xfId="0" applyFill="1" applyBorder="1" applyAlignment="1">
      <alignment horizontal="center"/>
    </xf>
    <xf numFmtId="14" fontId="0" fillId="0" borderId="0" xfId="0" applyNumberFormat="1" applyFill="1" applyBorder="1" applyAlignment="1">
      <alignment horizontal="left"/>
    </xf>
    <xf numFmtId="0" fontId="0" fillId="0" borderId="0" xfId="0" applyFill="1" applyBorder="1" applyAlignment="1">
      <alignment horizontal="left"/>
    </xf>
    <xf numFmtId="2" fontId="0" fillId="0" borderId="0" xfId="0" applyNumberFormat="1" applyFill="1" applyBorder="1" applyAlignment="1">
      <alignment horizontal="center"/>
    </xf>
    <xf numFmtId="167" fontId="0" fillId="0" borderId="0" xfId="1" applyNumberFormat="1" applyFont="1" applyFill="1" applyBorder="1" applyAlignment="1">
      <alignment horizontal="center"/>
    </xf>
    <xf numFmtId="0" fontId="0" fillId="4" borderId="0" xfId="0" applyFill="1" applyBorder="1" applyAlignment="1">
      <alignment horizontal="center"/>
    </xf>
    <xf numFmtId="14" fontId="0" fillId="4" borderId="0" xfId="0" applyNumberFormat="1" applyFill="1" applyBorder="1" applyAlignment="1">
      <alignment horizontal="left"/>
    </xf>
    <xf numFmtId="0" fontId="0" fillId="4" borderId="0" xfId="0" applyFill="1" applyBorder="1" applyAlignment="1">
      <alignment horizontal="left"/>
    </xf>
    <xf numFmtId="2" fontId="0" fillId="4" borderId="0" xfId="0" applyNumberFormat="1" applyFill="1" applyBorder="1" applyAlignment="1">
      <alignment horizontal="center"/>
    </xf>
    <xf numFmtId="166" fontId="0" fillId="0" borderId="0" xfId="6" applyFont="1"/>
    <xf numFmtId="0" fontId="0" fillId="10" borderId="0" xfId="0" applyFill="1" applyBorder="1" applyAlignment="1">
      <alignment horizontal="center"/>
    </xf>
    <xf numFmtId="14" fontId="0" fillId="10" borderId="0" xfId="0" applyNumberFormat="1" applyFill="1" applyBorder="1" applyAlignment="1">
      <alignment horizontal="left"/>
    </xf>
    <xf numFmtId="0" fontId="0" fillId="10" borderId="0" xfId="0" applyFill="1" applyBorder="1" applyAlignment="1">
      <alignment horizontal="left"/>
    </xf>
    <xf numFmtId="2" fontId="0" fillId="10" borderId="0" xfId="0" applyNumberFormat="1" applyFill="1" applyBorder="1" applyAlignment="1">
      <alignment horizontal="center"/>
    </xf>
    <xf numFmtId="14" fontId="3" fillId="10" borderId="0" xfId="0" applyNumberFormat="1" applyFont="1" applyFill="1" applyBorder="1" applyAlignment="1">
      <alignment horizontal="left"/>
    </xf>
    <xf numFmtId="0" fontId="3" fillId="10" borderId="0" xfId="0" applyFont="1" applyFill="1" applyBorder="1" applyAlignment="1">
      <alignment horizontal="left"/>
    </xf>
    <xf numFmtId="2" fontId="3" fillId="10" borderId="0" xfId="0" applyNumberFormat="1" applyFont="1" applyFill="1" applyBorder="1" applyAlignment="1">
      <alignment horizontal="center"/>
    </xf>
    <xf numFmtId="14" fontId="2" fillId="10" borderId="0" xfId="0" applyNumberFormat="1" applyFont="1" applyFill="1" applyBorder="1" applyAlignment="1">
      <alignment horizontal="left"/>
    </xf>
    <xf numFmtId="0" fontId="2" fillId="10" borderId="0" xfId="0" applyFont="1" applyFill="1" applyBorder="1" applyAlignment="1">
      <alignment horizontal="left"/>
    </xf>
    <xf numFmtId="0" fontId="3" fillId="10" borderId="0" xfId="0" applyFont="1" applyFill="1" applyBorder="1"/>
    <xf numFmtId="0" fontId="0" fillId="2" borderId="0" xfId="0" applyFill="1" applyBorder="1"/>
    <xf numFmtId="0" fontId="0" fillId="7" borderId="0" xfId="0" applyFill="1" applyBorder="1"/>
    <xf numFmtId="0" fontId="2" fillId="4" borderId="1" xfId="0" applyFont="1" applyFill="1" applyBorder="1"/>
    <xf numFmtId="167" fontId="0" fillId="4" borderId="2" xfId="1" applyNumberFormat="1" applyFont="1" applyFill="1" applyBorder="1" applyAlignment="1">
      <alignment horizontal="center"/>
    </xf>
    <xf numFmtId="0" fontId="5" fillId="10" borderId="1" xfId="0" applyFont="1" applyFill="1" applyBorder="1" applyAlignment="1">
      <alignment horizontal="left"/>
    </xf>
    <xf numFmtId="0" fontId="3" fillId="10" borderId="2" xfId="0" applyFont="1" applyFill="1" applyBorder="1" applyAlignment="1">
      <alignment horizontal="center"/>
    </xf>
    <xf numFmtId="0" fontId="2" fillId="0" borderId="1" xfId="0" applyFont="1" applyFill="1" applyBorder="1"/>
    <xf numFmtId="167" fontId="0" fillId="0" borderId="2" xfId="1" applyNumberFormat="1" applyFont="1" applyFill="1" applyBorder="1" applyAlignment="1">
      <alignment horizontal="center"/>
    </xf>
    <xf numFmtId="0" fontId="5" fillId="10" borderId="1" xfId="0" applyFont="1" applyFill="1" applyBorder="1"/>
    <xf numFmtId="167" fontId="0" fillId="10" borderId="2" xfId="1" applyNumberFormat="1" applyFont="1" applyFill="1" applyBorder="1" applyAlignment="1">
      <alignment horizontal="center"/>
    </xf>
    <xf numFmtId="0" fontId="5" fillId="0" borderId="1" xfId="0" applyFont="1" applyFill="1" applyBorder="1"/>
    <xf numFmtId="0" fontId="2" fillId="10" borderId="2" xfId="0" applyFont="1" applyFill="1" applyBorder="1" applyAlignment="1">
      <alignment horizontal="left"/>
    </xf>
    <xf numFmtId="167" fontId="3" fillId="10" borderId="2" xfId="1" applyNumberFormat="1" applyFont="1" applyFill="1" applyBorder="1" applyAlignment="1">
      <alignment horizontal="center"/>
    </xf>
    <xf numFmtId="0" fontId="5" fillId="4" borderId="1" xfId="0" applyFont="1" applyFill="1" applyBorder="1"/>
    <xf numFmtId="0" fontId="0" fillId="0" borderId="1" xfId="0" applyFill="1" applyBorder="1"/>
    <xf numFmtId="0" fontId="0" fillId="10" borderId="2" xfId="0" applyFill="1" applyBorder="1" applyAlignment="1">
      <alignment horizontal="center"/>
    </xf>
    <xf numFmtId="0" fontId="3" fillId="0" borderId="1" xfId="0" applyFont="1" applyFill="1" applyBorder="1"/>
    <xf numFmtId="0" fontId="3" fillId="0" borderId="3" xfId="0" applyFont="1" applyFill="1" applyBorder="1"/>
    <xf numFmtId="0" fontId="0" fillId="0" borderId="5" xfId="0" applyFill="1" applyBorder="1" applyAlignment="1">
      <alignment horizontal="center"/>
    </xf>
    <xf numFmtId="14" fontId="0" fillId="0" borderId="5" xfId="0" applyNumberFormat="1" applyFill="1" applyBorder="1" applyAlignment="1">
      <alignment horizontal="left"/>
    </xf>
    <xf numFmtId="0" fontId="0" fillId="0" borderId="5" xfId="0" applyFill="1" applyBorder="1" applyAlignment="1">
      <alignment horizontal="left"/>
    </xf>
    <xf numFmtId="2" fontId="0" fillId="0" borderId="5" xfId="0" applyNumberFormat="1" applyFill="1" applyBorder="1" applyAlignment="1">
      <alignment horizontal="center"/>
    </xf>
    <xf numFmtId="167" fontId="0" fillId="0" borderId="4" xfId="1" applyNumberFormat="1" applyFont="1" applyFill="1" applyBorder="1" applyAlignment="1">
      <alignment horizontal="center"/>
    </xf>
    <xf numFmtId="0" fontId="32" fillId="0" borderId="0" xfId="2" applyFont="1" applyBorder="1"/>
    <xf numFmtId="0" fontId="3" fillId="10" borderId="17" xfId="0" applyFont="1" applyFill="1" applyBorder="1" applyAlignment="1">
      <alignment horizontal="center"/>
    </xf>
    <xf numFmtId="0" fontId="3" fillId="10" borderId="7" xfId="0" applyFont="1" applyFill="1" applyBorder="1" applyAlignment="1">
      <alignment horizontal="center"/>
    </xf>
    <xf numFmtId="0" fontId="0" fillId="7" borderId="17" xfId="0" applyFill="1" applyBorder="1"/>
    <xf numFmtId="0" fontId="0" fillId="7" borderId="20" xfId="0" applyFill="1" applyBorder="1"/>
    <xf numFmtId="0" fontId="0" fillId="7" borderId="6" xfId="0" applyFill="1" applyBorder="1"/>
    <xf numFmtId="0" fontId="0" fillId="7" borderId="19" xfId="0" applyFill="1" applyBorder="1"/>
    <xf numFmtId="0" fontId="3" fillId="10" borderId="14" xfId="0" applyFont="1" applyFill="1" applyBorder="1" applyAlignment="1">
      <alignment horizontal="center" wrapText="1"/>
    </xf>
    <xf numFmtId="0" fontId="3" fillId="10" borderId="15" xfId="0" applyFont="1" applyFill="1" applyBorder="1" applyAlignment="1">
      <alignment horizontal="center" wrapText="1"/>
    </xf>
    <xf numFmtId="0" fontId="3" fillId="10" borderId="16" xfId="0" applyFont="1" applyFill="1" applyBorder="1" applyAlignment="1">
      <alignment horizontal="center" wrapText="1"/>
    </xf>
    <xf numFmtId="0" fontId="0" fillId="2" borderId="19" xfId="0" applyFill="1" applyBorder="1"/>
    <xf numFmtId="169" fontId="0" fillId="2" borderId="18" xfId="5" applyNumberFormat="1" applyFont="1" applyFill="1" applyBorder="1" applyAlignment="1">
      <alignment horizontal="right" indent="1"/>
    </xf>
    <xf numFmtId="169" fontId="0" fillId="2" borderId="11" xfId="5" applyNumberFormat="1" applyFont="1" applyFill="1" applyBorder="1" applyAlignment="1">
      <alignment horizontal="right" indent="1"/>
    </xf>
    <xf numFmtId="0" fontId="0" fillId="2" borderId="17" xfId="0" applyFill="1" applyBorder="1"/>
    <xf numFmtId="169" fontId="0" fillId="2" borderId="0" xfId="5" applyNumberFormat="1" applyFont="1" applyFill="1" applyBorder="1" applyAlignment="1">
      <alignment horizontal="right" indent="1"/>
    </xf>
    <xf numFmtId="169" fontId="0" fillId="2" borderId="7" xfId="5" applyNumberFormat="1" applyFont="1" applyFill="1" applyBorder="1" applyAlignment="1">
      <alignment horizontal="right" indent="1"/>
    </xf>
    <xf numFmtId="169" fontId="0" fillId="2" borderId="6" xfId="5" applyNumberFormat="1" applyFont="1" applyFill="1" applyBorder="1" applyAlignment="1">
      <alignment horizontal="right" indent="1"/>
    </xf>
    <xf numFmtId="169" fontId="0" fillId="2" borderId="13" xfId="5" applyNumberFormat="1" applyFont="1" applyFill="1" applyBorder="1" applyAlignment="1">
      <alignment horizontal="right" indent="1"/>
    </xf>
    <xf numFmtId="0" fontId="3" fillId="10" borderId="0" xfId="2" applyFont="1" applyFill="1" applyBorder="1"/>
    <xf numFmtId="0" fontId="3" fillId="10" borderId="0" xfId="2" applyFont="1" applyFill="1" applyBorder="1" applyAlignment="1">
      <alignment horizontal="left"/>
    </xf>
    <xf numFmtId="0" fontId="5" fillId="10" borderId="0" xfId="2" applyFont="1" applyFill="1" applyBorder="1" applyAlignment="1">
      <alignment horizontal="left" indent="14"/>
    </xf>
    <xf numFmtId="0" fontId="5" fillId="9" borderId="0" xfId="2" applyFont="1" applyFill="1" applyBorder="1"/>
    <xf numFmtId="0" fontId="28" fillId="0" borderId="0" xfId="2" applyFont="1" applyBorder="1"/>
    <xf numFmtId="0" fontId="30" fillId="9" borderId="14" xfId="0" applyFont="1" applyFill="1" applyBorder="1" applyAlignment="1">
      <alignment horizontal="center" wrapText="1"/>
    </xf>
    <xf numFmtId="0" fontId="30" fillId="9" borderId="15" xfId="0" applyFont="1" applyFill="1" applyBorder="1" applyAlignment="1">
      <alignment horizontal="center" wrapText="1"/>
    </xf>
    <xf numFmtId="2" fontId="30" fillId="9" borderId="15" xfId="0" applyNumberFormat="1" applyFont="1" applyFill="1" applyBorder="1" applyAlignment="1">
      <alignment horizontal="center" wrapText="1"/>
    </xf>
    <xf numFmtId="0" fontId="30" fillId="9" borderId="16" xfId="0" applyFont="1" applyFill="1" applyBorder="1" applyAlignment="1">
      <alignment horizontal="center" wrapText="1"/>
    </xf>
    <xf numFmtId="2" fontId="0" fillId="0" borderId="0" xfId="0" applyNumberFormat="1" applyAlignment="1">
      <alignment horizontal="center"/>
    </xf>
    <xf numFmtId="0" fontId="10" fillId="0" borderId="0" xfId="7" applyFont="1"/>
    <xf numFmtId="0" fontId="0" fillId="4" borderId="14" xfId="0" applyFill="1" applyBorder="1"/>
    <xf numFmtId="0" fontId="0" fillId="4" borderId="15" xfId="0" applyFill="1" applyBorder="1"/>
    <xf numFmtId="168" fontId="0" fillId="4" borderId="15" xfId="0" applyNumberFormat="1" applyFill="1" applyBorder="1"/>
    <xf numFmtId="9" fontId="0" fillId="4" borderId="15" xfId="5" applyFont="1" applyFill="1" applyBorder="1"/>
    <xf numFmtId="166" fontId="0" fillId="4" borderId="15" xfId="6" applyFont="1" applyFill="1" applyBorder="1"/>
    <xf numFmtId="9" fontId="0" fillId="4" borderId="16" xfId="5" applyFont="1" applyFill="1" applyBorder="1"/>
    <xf numFmtId="14" fontId="0" fillId="4" borderId="19" xfId="0" applyNumberFormat="1" applyFill="1" applyBorder="1"/>
    <xf numFmtId="2" fontId="0" fillId="4" borderId="18" xfId="0" applyNumberFormat="1" applyFill="1" applyBorder="1" applyAlignment="1">
      <alignment horizontal="right" indent="2"/>
    </xf>
    <xf numFmtId="0" fontId="0" fillId="4" borderId="18" xfId="0" applyFill="1" applyBorder="1" applyAlignment="1">
      <alignment horizontal="right" indent="2"/>
    </xf>
    <xf numFmtId="14" fontId="0" fillId="4" borderId="17" xfId="0" applyNumberFormat="1" applyFill="1" applyBorder="1"/>
    <xf numFmtId="2" fontId="0" fillId="4" borderId="0" xfId="0" applyNumberFormat="1" applyFill="1" applyBorder="1" applyAlignment="1">
      <alignment horizontal="right" indent="2"/>
    </xf>
    <xf numFmtId="169" fontId="0" fillId="4" borderId="0" xfId="5" applyNumberFormat="1" applyFont="1" applyFill="1" applyBorder="1" applyAlignment="1">
      <alignment horizontal="right" indent="2"/>
    </xf>
    <xf numFmtId="10" fontId="0" fillId="4" borderId="0" xfId="5" applyNumberFormat="1" applyFont="1" applyFill="1" applyBorder="1" applyAlignment="1">
      <alignment horizontal="right" indent="2"/>
    </xf>
    <xf numFmtId="0" fontId="0" fillId="2" borderId="7" xfId="0" applyFill="1" applyBorder="1"/>
    <xf numFmtId="0" fontId="0" fillId="2" borderId="13" xfId="0" applyFill="1" applyBorder="1"/>
    <xf numFmtId="14" fontId="0" fillId="4" borderId="20" xfId="0" applyNumberFormat="1" applyFill="1" applyBorder="1"/>
    <xf numFmtId="2" fontId="0" fillId="4" borderId="6" xfId="0" applyNumberFormat="1" applyFill="1" applyBorder="1" applyAlignment="1">
      <alignment horizontal="right" indent="2"/>
    </xf>
    <xf numFmtId="169" fontId="0" fillId="4" borderId="6" xfId="5" applyNumberFormat="1" applyFont="1" applyFill="1" applyBorder="1" applyAlignment="1">
      <alignment horizontal="right" indent="2"/>
    </xf>
    <xf numFmtId="10" fontId="0" fillId="4" borderId="6" xfId="5" applyNumberFormat="1" applyFont="1" applyFill="1" applyBorder="1" applyAlignment="1">
      <alignment horizontal="right" indent="2"/>
    </xf>
    <xf numFmtId="0" fontId="5" fillId="10" borderId="0" xfId="0" applyFont="1" applyFill="1"/>
    <xf numFmtId="9" fontId="5" fillId="10" borderId="0" xfId="0" applyNumberFormat="1" applyFont="1" applyFill="1" applyAlignment="1">
      <alignment horizontal="center"/>
    </xf>
    <xf numFmtId="0" fontId="5" fillId="10" borderId="19" xfId="0" applyFont="1" applyFill="1" applyBorder="1" applyAlignment="1">
      <alignment horizontal="center"/>
    </xf>
    <xf numFmtId="0" fontId="0" fillId="2" borderId="17" xfId="0" applyFill="1" applyBorder="1" applyAlignment="1">
      <alignment horizontal="left" indent="6"/>
    </xf>
    <xf numFmtId="0" fontId="0" fillId="2" borderId="20" xfId="0" applyFill="1" applyBorder="1" applyAlignment="1">
      <alignment horizontal="left" indent="6"/>
    </xf>
    <xf numFmtId="0" fontId="0" fillId="2" borderId="0" xfId="0" applyFill="1" applyBorder="1" applyAlignment="1">
      <alignment horizontal="right" indent="2"/>
    </xf>
    <xf numFmtId="0" fontId="0" fillId="2" borderId="6" xfId="0" applyFill="1" applyBorder="1" applyAlignment="1">
      <alignment horizontal="right" indent="2"/>
    </xf>
    <xf numFmtId="0" fontId="5" fillId="10" borderId="11" xfId="0" applyFont="1" applyFill="1" applyBorder="1" applyAlignment="1">
      <alignment horizontal="center"/>
    </xf>
    <xf numFmtId="0" fontId="5" fillId="10" borderId="18" xfId="0" applyFont="1" applyFill="1" applyBorder="1" applyAlignment="1">
      <alignment horizontal="center"/>
    </xf>
    <xf numFmtId="0" fontId="3" fillId="10" borderId="18" xfId="0" applyFont="1" applyFill="1" applyBorder="1"/>
    <xf numFmtId="0" fontId="3" fillId="10" borderId="11" xfId="0" applyFont="1" applyFill="1" applyBorder="1"/>
    <xf numFmtId="0" fontId="3" fillId="10" borderId="17" xfId="0" applyFont="1" applyFill="1" applyBorder="1"/>
    <xf numFmtId="170" fontId="3" fillId="10" borderId="18" xfId="0" applyNumberFormat="1" applyFont="1" applyFill="1" applyBorder="1" applyAlignment="1">
      <alignment horizontal="right" indent="7"/>
    </xf>
    <xf numFmtId="0" fontId="0" fillId="2" borderId="17" xfId="0" applyFill="1" applyBorder="1" applyAlignment="1">
      <alignment horizontal="center"/>
    </xf>
    <xf numFmtId="0" fontId="35" fillId="2" borderId="0" xfId="0" applyFont="1" applyFill="1" applyBorder="1" applyAlignment="1">
      <alignment horizontal="center"/>
    </xf>
    <xf numFmtId="9" fontId="0" fillId="2" borderId="7" xfId="5" applyFont="1" applyFill="1" applyBorder="1" applyAlignment="1">
      <alignment horizontal="center"/>
    </xf>
    <xf numFmtId="0" fontId="0" fillId="2" borderId="20" xfId="0" applyFill="1" applyBorder="1" applyAlignment="1">
      <alignment horizontal="center"/>
    </xf>
    <xf numFmtId="0" fontId="35" fillId="2" borderId="6" xfId="0" applyFont="1" applyFill="1" applyBorder="1" applyAlignment="1">
      <alignment horizontal="center"/>
    </xf>
    <xf numFmtId="9" fontId="0" fillId="2" borderId="13" xfId="5" applyFont="1" applyFill="1" applyBorder="1" applyAlignment="1">
      <alignment horizontal="center"/>
    </xf>
    <xf numFmtId="0" fontId="3" fillId="10" borderId="7" xfId="0" applyFont="1" applyFill="1" applyBorder="1"/>
    <xf numFmtId="0" fontId="3" fillId="10" borderId="20" xfId="0" applyFont="1" applyFill="1" applyBorder="1"/>
    <xf numFmtId="0" fontId="3" fillId="10" borderId="6" xfId="0" applyFont="1" applyFill="1" applyBorder="1"/>
    <xf numFmtId="0" fontId="3" fillId="10" borderId="13" xfId="0" applyFont="1" applyFill="1" applyBorder="1"/>
    <xf numFmtId="2" fontId="3" fillId="10" borderId="0" xfId="0" applyNumberFormat="1" applyFont="1" applyFill="1" applyBorder="1" applyAlignment="1">
      <alignment horizontal="left" indent="2"/>
    </xf>
    <xf numFmtId="2" fontId="3" fillId="10" borderId="0" xfId="1" applyNumberFormat="1" applyFont="1" applyFill="1" applyBorder="1" applyAlignment="1">
      <alignment horizontal="left" indent="2"/>
    </xf>
    <xf numFmtId="169" fontId="3" fillId="10" borderId="6" xfId="5" applyNumberFormat="1" applyFont="1" applyFill="1" applyBorder="1" applyAlignment="1">
      <alignment horizontal="left" indent="2"/>
    </xf>
    <xf numFmtId="168" fontId="28" fillId="0" borderId="0" xfId="6" applyNumberFormat="1" applyFont="1" applyBorder="1"/>
    <xf numFmtId="168" fontId="28" fillId="0" borderId="8" xfId="6" applyNumberFormat="1" applyFont="1" applyBorder="1"/>
    <xf numFmtId="0" fontId="28" fillId="0" borderId="0" xfId="2" applyFont="1" applyBorder="1" applyAlignment="1">
      <alignment horizontal="right"/>
    </xf>
    <xf numFmtId="0" fontId="29" fillId="9" borderId="19" xfId="2" applyFont="1" applyFill="1" applyBorder="1" applyAlignment="1">
      <alignment horizontal="left"/>
    </xf>
    <xf numFmtId="0" fontId="29" fillId="9" borderId="18" xfId="2" applyFont="1" applyFill="1" applyBorder="1" applyAlignment="1">
      <alignment horizontal="right"/>
    </xf>
    <xf numFmtId="168" fontId="29" fillId="9" borderId="18" xfId="2" applyNumberFormat="1" applyFont="1" applyFill="1" applyBorder="1" applyAlignment="1">
      <alignment horizontal="center"/>
    </xf>
    <xf numFmtId="0" fontId="5" fillId="9" borderId="18" xfId="2" applyFont="1" applyFill="1" applyBorder="1" applyAlignment="1">
      <alignment horizontal="center"/>
    </xf>
    <xf numFmtId="0" fontId="5" fillId="9" borderId="18" xfId="2" applyFont="1" applyFill="1" applyBorder="1" applyAlignment="1">
      <alignment horizontal="center" wrapText="1"/>
    </xf>
    <xf numFmtId="0" fontId="5" fillId="10" borderId="17" xfId="2" applyFont="1" applyFill="1" applyBorder="1" applyAlignment="1">
      <alignment horizontal="center"/>
    </xf>
    <xf numFmtId="0" fontId="5" fillId="10" borderId="7" xfId="2" applyFont="1" applyFill="1" applyBorder="1" applyAlignment="1">
      <alignment horizontal="center" wrapText="1"/>
    </xf>
    <xf numFmtId="43" fontId="1" fillId="4" borderId="7" xfId="1" applyFont="1" applyFill="1" applyBorder="1"/>
    <xf numFmtId="0" fontId="20" fillId="4" borderId="6" xfId="2" applyNumberFormat="1" applyFont="1" applyFill="1" applyBorder="1"/>
    <xf numFmtId="0" fontId="20" fillId="4" borderId="6" xfId="2" applyFont="1" applyFill="1" applyBorder="1"/>
    <xf numFmtId="43" fontId="1" fillId="4" borderId="13" xfId="1" applyFont="1" applyFill="1" applyBorder="1"/>
    <xf numFmtId="0" fontId="0" fillId="2" borderId="18" xfId="0" applyFill="1" applyBorder="1"/>
    <xf numFmtId="0" fontId="0" fillId="2" borderId="6" xfId="0" applyFill="1" applyBorder="1"/>
    <xf numFmtId="0" fontId="0" fillId="3" borderId="0" xfId="0" applyFont="1" applyFill="1"/>
    <xf numFmtId="169" fontId="0" fillId="3" borderId="0" xfId="0" applyNumberFormat="1" applyFont="1" applyFill="1" applyAlignment="1">
      <alignment horizontal="right" indent="1"/>
    </xf>
    <xf numFmtId="0" fontId="0" fillId="3" borderId="0" xfId="0" applyFont="1" applyFill="1" applyAlignment="1">
      <alignment horizontal="right" indent="1"/>
    </xf>
    <xf numFmtId="0" fontId="0" fillId="4" borderId="19" xfId="0" applyFill="1" applyBorder="1" applyAlignment="1">
      <alignment horizontal="center"/>
    </xf>
    <xf numFmtId="0" fontId="0" fillId="4" borderId="17" xfId="0" applyFill="1" applyBorder="1" applyAlignment="1">
      <alignment horizontal="center"/>
    </xf>
    <xf numFmtId="0" fontId="0" fillId="4" borderId="0" xfId="0" applyFill="1" applyBorder="1"/>
    <xf numFmtId="0" fontId="0" fillId="4" borderId="20" xfId="0" applyFill="1" applyBorder="1" applyAlignment="1">
      <alignment horizontal="center"/>
    </xf>
    <xf numFmtId="0" fontId="0" fillId="4" borderId="6" xfId="0" applyFill="1" applyBorder="1"/>
    <xf numFmtId="169" fontId="0" fillId="4" borderId="7" xfId="5" applyNumberFormat="1" applyFont="1" applyFill="1" applyBorder="1" applyAlignment="1">
      <alignment horizontal="center"/>
    </xf>
    <xf numFmtId="169" fontId="0" fillId="4" borderId="19" xfId="5" applyNumberFormat="1" applyFont="1" applyFill="1" applyBorder="1" applyAlignment="1">
      <alignment horizontal="center"/>
    </xf>
    <xf numFmtId="169" fontId="0" fillId="4" borderId="11" xfId="5" applyNumberFormat="1" applyFont="1" applyFill="1" applyBorder="1" applyAlignment="1">
      <alignment horizontal="center"/>
    </xf>
    <xf numFmtId="169" fontId="0" fillId="4" borderId="17" xfId="5" applyNumberFormat="1" applyFont="1" applyFill="1" applyBorder="1" applyAlignment="1">
      <alignment horizontal="center"/>
    </xf>
    <xf numFmtId="169" fontId="0" fillId="8" borderId="10" xfId="5" applyNumberFormat="1" applyFont="1" applyFill="1" applyBorder="1" applyAlignment="1">
      <alignment horizontal="center"/>
    </xf>
    <xf numFmtId="169" fontId="0" fillId="8" borderId="9" xfId="5" applyNumberFormat="1" applyFont="1" applyFill="1" applyBorder="1" applyAlignment="1">
      <alignment horizontal="center"/>
    </xf>
    <xf numFmtId="0" fontId="0" fillId="2" borderId="0" xfId="0" applyFont="1" applyFill="1" applyBorder="1"/>
    <xf numFmtId="0" fontId="0" fillId="2" borderId="17" xfId="0" applyFill="1" applyBorder="1" applyAlignment="1">
      <alignment horizontal="left"/>
    </xf>
    <xf numFmtId="0" fontId="2" fillId="4" borderId="14" xfId="0" applyFont="1" applyFill="1" applyBorder="1"/>
    <xf numFmtId="0" fontId="2" fillId="4" borderId="15" xfId="0" applyFont="1" applyFill="1" applyBorder="1" applyAlignment="1">
      <alignment horizontal="center"/>
    </xf>
    <xf numFmtId="10" fontId="2" fillId="4" borderId="15" xfId="5" applyNumberFormat="1" applyFont="1" applyFill="1" applyBorder="1"/>
    <xf numFmtId="0" fontId="2" fillId="4" borderId="16" xfId="0" applyFont="1" applyFill="1" applyBorder="1"/>
    <xf numFmtId="169" fontId="2" fillId="4" borderId="15" xfId="0" applyNumberFormat="1" applyFont="1" applyFill="1" applyBorder="1" applyAlignment="1">
      <alignment horizontal="right" indent="4"/>
    </xf>
    <xf numFmtId="169" fontId="0" fillId="8" borderId="10" xfId="5" applyNumberFormat="1" applyFont="1" applyFill="1" applyBorder="1" applyAlignment="1">
      <alignment horizontal="right" indent="4"/>
    </xf>
    <xf numFmtId="169" fontId="0" fillId="8" borderId="9" xfId="5" applyNumberFormat="1" applyFont="1" applyFill="1" applyBorder="1" applyAlignment="1">
      <alignment horizontal="right" indent="4"/>
    </xf>
    <xf numFmtId="0" fontId="0" fillId="4" borderId="11" xfId="0" applyFill="1" applyBorder="1"/>
    <xf numFmtId="0" fontId="0" fillId="4" borderId="20" xfId="0" applyFill="1" applyBorder="1"/>
    <xf numFmtId="0" fontId="3" fillId="11" borderId="19" xfId="0" applyFont="1" applyFill="1" applyBorder="1"/>
    <xf numFmtId="0" fontId="3" fillId="11" borderId="18" xfId="0" applyFont="1" applyFill="1" applyBorder="1"/>
    <xf numFmtId="0" fontId="3" fillId="11" borderId="11" xfId="0" applyFont="1" applyFill="1" applyBorder="1"/>
    <xf numFmtId="0" fontId="3" fillId="11" borderId="17" xfId="0" applyFont="1" applyFill="1" applyBorder="1"/>
    <xf numFmtId="0" fontId="3" fillId="11" borderId="0" xfId="0" applyFont="1" applyFill="1" applyBorder="1"/>
    <xf numFmtId="0" fontId="3" fillId="11" borderId="7" xfId="0" applyFont="1" applyFill="1" applyBorder="1"/>
    <xf numFmtId="167" fontId="0" fillId="2" borderId="17" xfId="1" applyNumberFormat="1" applyFont="1" applyFill="1" applyBorder="1"/>
    <xf numFmtId="166" fontId="0" fillId="2" borderId="0" xfId="6" applyNumberFormat="1" applyFont="1" applyFill="1" applyBorder="1"/>
    <xf numFmtId="168" fontId="0" fillId="2" borderId="0" xfId="6" applyNumberFormat="1" applyFont="1" applyFill="1" applyBorder="1"/>
    <xf numFmtId="9" fontId="0" fillId="2" borderId="7" xfId="5" applyFont="1" applyFill="1" applyBorder="1"/>
    <xf numFmtId="166" fontId="0" fillId="2" borderId="6" xfId="6" applyNumberFormat="1" applyFont="1" applyFill="1" applyBorder="1"/>
    <xf numFmtId="168" fontId="0" fillId="2" borderId="6" xfId="6" applyNumberFormat="1" applyFont="1" applyFill="1" applyBorder="1"/>
    <xf numFmtId="9" fontId="0" fillId="2" borderId="13" xfId="5" applyFont="1" applyFill="1" applyBorder="1"/>
    <xf numFmtId="0" fontId="3" fillId="10" borderId="19" xfId="0" applyFont="1" applyFill="1" applyBorder="1"/>
    <xf numFmtId="167" fontId="0" fillId="8" borderId="17" xfId="1" applyNumberFormat="1" applyFont="1" applyFill="1" applyBorder="1"/>
    <xf numFmtId="166" fontId="0" fillId="8" borderId="0" xfId="6" applyNumberFormat="1" applyFont="1" applyFill="1" applyBorder="1"/>
    <xf numFmtId="168" fontId="0" fillId="8" borderId="0" xfId="6" applyNumberFormat="1" applyFont="1" applyFill="1" applyBorder="1"/>
    <xf numFmtId="9" fontId="0" fillId="8" borderId="7" xfId="5" applyFont="1" applyFill="1" applyBorder="1"/>
    <xf numFmtId="167" fontId="0" fillId="8" borderId="20" xfId="1" applyNumberFormat="1" applyFont="1" applyFill="1" applyBorder="1"/>
    <xf numFmtId="166" fontId="0" fillId="8" borderId="6" xfId="6" applyNumberFormat="1" applyFont="1" applyFill="1" applyBorder="1"/>
    <xf numFmtId="168" fontId="0" fillId="8" borderId="6" xfId="6" applyNumberFormat="1" applyFont="1" applyFill="1" applyBorder="1"/>
    <xf numFmtId="9" fontId="0" fillId="8" borderId="13" xfId="5" applyFont="1" applyFill="1" applyBorder="1"/>
    <xf numFmtId="167" fontId="0" fillId="2" borderId="20" xfId="1" applyNumberFormat="1" applyFont="1" applyFill="1" applyBorder="1"/>
    <xf numFmtId="0" fontId="17" fillId="4" borderId="0" xfId="7" applyFont="1" applyFill="1"/>
    <xf numFmtId="0" fontId="37" fillId="0" borderId="0" xfId="0" applyFont="1"/>
    <xf numFmtId="9" fontId="0" fillId="0" borderId="0" xfId="5" applyFont="1"/>
    <xf numFmtId="0" fontId="3" fillId="0" borderId="0" xfId="0" applyFont="1"/>
    <xf numFmtId="0" fontId="0" fillId="4" borderId="18" xfId="0" applyFill="1" applyBorder="1" applyAlignment="1">
      <alignment horizontal="left" indent="1"/>
    </xf>
    <xf numFmtId="0" fontId="0" fillId="4" borderId="0" xfId="0" applyFill="1" applyBorder="1" applyAlignment="1">
      <alignment horizontal="left" indent="1"/>
    </xf>
    <xf numFmtId="0" fontId="0" fillId="4" borderId="6" xfId="0" applyFill="1" applyBorder="1" applyAlignment="1">
      <alignment horizontal="left" indent="1"/>
    </xf>
    <xf numFmtId="0" fontId="8" fillId="7" borderId="17" xfId="2" applyFont="1" applyFill="1" applyBorder="1"/>
    <xf numFmtId="0" fontId="0" fillId="7" borderId="18" xfId="0" applyFill="1" applyBorder="1"/>
    <xf numFmtId="0" fontId="0" fillId="3" borderId="14" xfId="0" applyFont="1" applyFill="1" applyBorder="1" applyAlignment="1">
      <alignment horizontal="left" indent="3"/>
    </xf>
    <xf numFmtId="0" fontId="9" fillId="3" borderId="15" xfId="0" applyFont="1" applyFill="1" applyBorder="1" applyAlignment="1">
      <alignment horizontal="left" indent="50"/>
    </xf>
    <xf numFmtId="0" fontId="0" fillId="3" borderId="15" xfId="0" applyFont="1" applyFill="1" applyBorder="1"/>
    <xf numFmtId="0" fontId="36" fillId="3" borderId="15" xfId="0" applyFont="1" applyFill="1" applyBorder="1" applyAlignment="1">
      <alignment horizontal="left" indent="4"/>
    </xf>
    <xf numFmtId="0" fontId="0" fillId="3" borderId="15" xfId="0" applyFont="1" applyFill="1" applyBorder="1" applyAlignment="1">
      <alignment horizontal="center"/>
    </xf>
    <xf numFmtId="0" fontId="0" fillId="3" borderId="14" xfId="0" applyFont="1" applyFill="1" applyBorder="1"/>
    <xf numFmtId="0" fontId="0" fillId="3" borderId="16" xfId="0" applyFont="1" applyFill="1" applyBorder="1"/>
    <xf numFmtId="0" fontId="0" fillId="2" borderId="6" xfId="0" applyFill="1" applyBorder="1" applyAlignment="1">
      <alignment horizontal="center"/>
    </xf>
    <xf numFmtId="0" fontId="0" fillId="0" borderId="0" xfId="0" applyFont="1"/>
    <xf numFmtId="0" fontId="0" fillId="0" borderId="0" xfId="2" applyFont="1" applyFill="1" applyBorder="1"/>
    <xf numFmtId="14" fontId="1" fillId="0" borderId="0" xfId="2" applyNumberFormat="1" applyFont="1" applyFill="1" applyBorder="1"/>
    <xf numFmtId="0" fontId="8" fillId="7" borderId="19" xfId="2" applyFont="1" applyFill="1" applyBorder="1"/>
    <xf numFmtId="0" fontId="20" fillId="4" borderId="18" xfId="2" applyNumberFormat="1" applyFont="1" applyFill="1" applyBorder="1"/>
    <xf numFmtId="0" fontId="20" fillId="4" borderId="18" xfId="2" applyFont="1" applyFill="1" applyBorder="1"/>
    <xf numFmtId="14" fontId="1" fillId="0" borderId="18" xfId="2" applyNumberFormat="1" applyFont="1" applyFill="1" applyBorder="1"/>
    <xf numFmtId="43" fontId="1" fillId="4" borderId="11" xfId="1" applyFont="1" applyFill="1" applyBorder="1"/>
    <xf numFmtId="0" fontId="8" fillId="7" borderId="20" xfId="2" applyFont="1" applyFill="1" applyBorder="1"/>
    <xf numFmtId="14" fontId="1" fillId="0" borderId="6" xfId="2" applyNumberFormat="1" applyFont="1" applyFill="1" applyBorder="1"/>
    <xf numFmtId="0" fontId="20" fillId="6" borderId="0" xfId="2" applyFont="1" applyFill="1" applyBorder="1"/>
    <xf numFmtId="0" fontId="20" fillId="6" borderId="6" xfId="2" applyFont="1" applyFill="1" applyBorder="1"/>
    <xf numFmtId="1" fontId="20" fillId="0" borderId="0" xfId="1" applyNumberFormat="1" applyFont="1" applyBorder="1" applyAlignment="1">
      <alignment horizontal="right" indent="6"/>
    </xf>
    <xf numFmtId="166" fontId="1" fillId="0" borderId="18" xfId="6" applyFont="1" applyFill="1" applyBorder="1"/>
    <xf numFmtId="166" fontId="1" fillId="0" borderId="11" xfId="6" applyFont="1" applyFill="1" applyBorder="1"/>
    <xf numFmtId="0" fontId="20" fillId="0" borderId="18" xfId="2" applyFont="1" applyBorder="1"/>
    <xf numFmtId="0" fontId="20" fillId="6" borderId="18" xfId="2" applyFont="1" applyFill="1" applyBorder="1"/>
    <xf numFmtId="0" fontId="20" fillId="0" borderId="6" xfId="2" applyFont="1" applyBorder="1"/>
    <xf numFmtId="166" fontId="1" fillId="0" borderId="0" xfId="6" applyFont="1" applyFill="1" applyBorder="1"/>
    <xf numFmtId="166" fontId="1" fillId="0" borderId="7" xfId="6" applyFont="1" applyFill="1" applyBorder="1"/>
    <xf numFmtId="166" fontId="1" fillId="0" borderId="6" xfId="6" applyFont="1" applyFill="1" applyBorder="1"/>
    <xf numFmtId="166" fontId="1" fillId="0" borderId="13" xfId="6" applyFont="1" applyFill="1" applyBorder="1"/>
    <xf numFmtId="0" fontId="1" fillId="0" borderId="0" xfId="2" quotePrefix="1" applyFont="1" applyFill="1" applyBorder="1"/>
    <xf numFmtId="0" fontId="0" fillId="0" borderId="0" xfId="2" quotePrefix="1" applyFont="1" applyBorder="1"/>
    <xf numFmtId="167" fontId="0" fillId="2" borderId="6" xfId="1" applyNumberFormat="1" applyFont="1" applyFill="1" applyBorder="1"/>
    <xf numFmtId="9" fontId="0" fillId="2" borderId="6" xfId="5" applyFont="1" applyFill="1" applyBorder="1"/>
    <xf numFmtId="0" fontId="5" fillId="0" borderId="0" xfId="2" applyFont="1" applyBorder="1" applyAlignment="1">
      <alignment horizontal="center"/>
    </xf>
    <xf numFmtId="0" fontId="0" fillId="12" borderId="19" xfId="0" applyFill="1" applyBorder="1"/>
    <xf numFmtId="0" fontId="0" fillId="12" borderId="0" xfId="0" applyFill="1" applyBorder="1"/>
    <xf numFmtId="0" fontId="0" fillId="12" borderId="18" xfId="0" applyFill="1" applyBorder="1"/>
    <xf numFmtId="2" fontId="8" fillId="12" borderId="11" xfId="0" applyNumberFormat="1" applyFont="1" applyFill="1" applyBorder="1" applyAlignment="1">
      <alignment horizontal="right" indent="1"/>
    </xf>
    <xf numFmtId="0" fontId="0" fillId="12" borderId="17" xfId="0" applyFill="1" applyBorder="1"/>
    <xf numFmtId="2" fontId="8" fillId="12" borderId="7" xfId="0" applyNumberFormat="1" applyFont="1" applyFill="1" applyBorder="1" applyAlignment="1">
      <alignment horizontal="right" indent="1"/>
    </xf>
    <xf numFmtId="0" fontId="0" fillId="12" borderId="20" xfId="0" applyFill="1" applyBorder="1"/>
    <xf numFmtId="0" fontId="0" fillId="12" borderId="6" xfId="0" applyFill="1" applyBorder="1"/>
    <xf numFmtId="2" fontId="8" fillId="12" borderId="13" xfId="0" applyNumberFormat="1" applyFont="1" applyFill="1" applyBorder="1" applyAlignment="1">
      <alignment horizontal="right" indent="1"/>
    </xf>
    <xf numFmtId="2" fontId="0" fillId="7" borderId="11" xfId="0" applyNumberFormat="1" applyFont="1" applyFill="1" applyBorder="1" applyAlignment="1">
      <alignment horizontal="right" indent="1"/>
    </xf>
    <xf numFmtId="2" fontId="0" fillId="7" borderId="7" xfId="0" applyNumberFormat="1" applyFont="1" applyFill="1" applyBorder="1" applyAlignment="1">
      <alignment horizontal="right" indent="1"/>
    </xf>
    <xf numFmtId="2" fontId="0" fillId="7" borderId="13" xfId="0" applyNumberFormat="1" applyFont="1" applyFill="1" applyBorder="1" applyAlignment="1">
      <alignment horizontal="right" indent="1"/>
    </xf>
    <xf numFmtId="0" fontId="0" fillId="0" borderId="0" xfId="0" applyAlignment="1">
      <alignment horizontal="left"/>
    </xf>
    <xf numFmtId="0" fontId="0" fillId="4" borderId="0" xfId="0" applyFill="1" applyBorder="1" applyAlignment="1">
      <alignment horizontal="left" indent="2"/>
    </xf>
    <xf numFmtId="0" fontId="0" fillId="4" borderId="18" xfId="0" applyFill="1" applyBorder="1" applyAlignment="1">
      <alignment horizontal="left"/>
    </xf>
    <xf numFmtId="0" fontId="0" fillId="4" borderId="6" xfId="0" applyFill="1" applyBorder="1" applyAlignment="1">
      <alignment horizontal="left"/>
    </xf>
    <xf numFmtId="0" fontId="0" fillId="4" borderId="18" xfId="0" applyFill="1" applyBorder="1" applyAlignment="1">
      <alignment horizontal="left" indent="2"/>
    </xf>
    <xf numFmtId="0" fontId="0" fillId="4" borderId="6" xfId="0" applyFill="1" applyBorder="1" applyAlignment="1">
      <alignment horizontal="left" indent="2"/>
    </xf>
    <xf numFmtId="0" fontId="1" fillId="6" borderId="0" xfId="2" applyFont="1" applyFill="1" applyBorder="1"/>
    <xf numFmtId="43" fontId="1" fillId="6" borderId="0" xfId="1" applyFont="1" applyFill="1" applyBorder="1"/>
    <xf numFmtId="0" fontId="2" fillId="6" borderId="0" xfId="2" applyFont="1" applyFill="1" applyBorder="1" applyAlignment="1">
      <alignment horizontal="center" wrapText="1"/>
    </xf>
    <xf numFmtId="0" fontId="1" fillId="4" borderId="0" xfId="2" applyFont="1" applyFill="1" applyBorder="1"/>
    <xf numFmtId="0" fontId="2" fillId="4" borderId="0" xfId="2" applyFont="1" applyFill="1" applyBorder="1" applyAlignment="1">
      <alignment horizontal="center" wrapText="1"/>
    </xf>
    <xf numFmtId="0" fontId="0" fillId="3" borderId="15" xfId="0" applyFont="1" applyFill="1" applyBorder="1" applyAlignment="1">
      <alignment horizontal="left" indent="3"/>
    </xf>
    <xf numFmtId="0" fontId="9" fillId="3" borderId="16" xfId="0" applyFont="1" applyFill="1" applyBorder="1" applyAlignment="1">
      <alignment horizontal="left" indent="50"/>
    </xf>
    <xf numFmtId="43" fontId="0" fillId="0" borderId="0" xfId="0" applyNumberFormat="1"/>
    <xf numFmtId="0" fontId="0" fillId="0" borderId="0" xfId="2" applyFont="1" applyBorder="1"/>
    <xf numFmtId="43" fontId="1" fillId="0" borderId="0" xfId="1" applyFont="1" applyBorder="1"/>
    <xf numFmtId="9" fontId="5" fillId="9" borderId="18" xfId="5" applyFont="1" applyFill="1" applyBorder="1" applyAlignment="1">
      <alignment horizontal="center"/>
    </xf>
    <xf numFmtId="167" fontId="0" fillId="8" borderId="0" xfId="1" applyNumberFormat="1" applyFont="1" applyFill="1" applyBorder="1"/>
    <xf numFmtId="167" fontId="0" fillId="2" borderId="0" xfId="1" applyNumberFormat="1" applyFont="1" applyFill="1" applyBorder="1"/>
    <xf numFmtId="168" fontId="0" fillId="4" borderId="6" xfId="0" applyNumberFormat="1" applyFill="1" applyBorder="1"/>
    <xf numFmtId="9" fontId="0" fillId="4" borderId="6" xfId="5" applyFont="1" applyFill="1" applyBorder="1"/>
    <xf numFmtId="9" fontId="0" fillId="8" borderId="0" xfId="5" applyFont="1" applyFill="1" applyBorder="1"/>
    <xf numFmtId="9" fontId="0" fillId="2" borderId="0" xfId="5" applyFont="1" applyFill="1" applyBorder="1"/>
    <xf numFmtId="167" fontId="0" fillId="8" borderId="6" xfId="1" applyNumberFormat="1" applyFont="1" applyFill="1" applyBorder="1"/>
    <xf numFmtId="9" fontId="0" fillId="8" borderId="6" xfId="5" applyFont="1" applyFill="1" applyBorder="1"/>
    <xf numFmtId="166" fontId="13" fillId="0" borderId="0" xfId="6" applyFont="1" applyFill="1" applyBorder="1" applyAlignment="1">
      <alignment horizontal="center"/>
    </xf>
    <xf numFmtId="9" fontId="10" fillId="0" borderId="0" xfId="5" quotePrefix="1" applyFont="1" applyFill="1" applyBorder="1" applyAlignment="1">
      <alignment horizontal="center"/>
    </xf>
    <xf numFmtId="0" fontId="28" fillId="0" borderId="0" xfId="2" applyFont="1" applyFill="1" applyBorder="1" applyAlignment="1">
      <alignment horizontal="right"/>
    </xf>
    <xf numFmtId="0" fontId="32" fillId="0" borderId="0" xfId="2" applyFont="1" applyFill="1" applyBorder="1"/>
    <xf numFmtId="0" fontId="28" fillId="0" borderId="0" xfId="2" applyFont="1" applyFill="1" applyBorder="1" applyAlignment="1">
      <alignment horizontal="center"/>
    </xf>
    <xf numFmtId="0" fontId="28" fillId="0" borderId="0" xfId="2" applyFont="1" applyFill="1" applyBorder="1" applyAlignment="1">
      <alignment horizontal="center" wrapText="1"/>
    </xf>
    <xf numFmtId="0" fontId="3" fillId="0" borderId="0" xfId="2" applyFont="1" applyFill="1" applyBorder="1"/>
    <xf numFmtId="0" fontId="8" fillId="0" borderId="0" xfId="2" applyFont="1" applyFill="1" applyBorder="1"/>
    <xf numFmtId="0" fontId="20" fillId="0" borderId="0" xfId="2" applyNumberFormat="1" applyFont="1" applyFill="1" applyBorder="1"/>
    <xf numFmtId="166" fontId="20" fillId="0" borderId="0" xfId="2" quotePrefix="1" applyNumberFormat="1" applyFont="1" applyFill="1" applyBorder="1"/>
    <xf numFmtId="168" fontId="20" fillId="0" borderId="0" xfId="2" quotePrefix="1" applyNumberFormat="1" applyFont="1" applyFill="1" applyBorder="1"/>
    <xf numFmtId="169" fontId="20" fillId="0" borderId="0" xfId="4" applyNumberFormat="1" applyFont="1" applyFill="1" applyBorder="1"/>
    <xf numFmtId="0" fontId="3" fillId="6" borderId="0" xfId="2" applyFont="1" applyFill="1" applyBorder="1"/>
    <xf numFmtId="0" fontId="3" fillId="4" borderId="0" xfId="2" applyFont="1" applyFill="1" applyBorder="1"/>
    <xf numFmtId="0" fontId="3" fillId="0" borderId="0" xfId="2" applyFont="1" applyBorder="1"/>
    <xf numFmtId="0" fontId="3" fillId="10" borderId="0" xfId="0" applyFont="1" applyFill="1" applyBorder="1" applyAlignment="1">
      <alignment horizontal="center" wrapText="1"/>
    </xf>
    <xf numFmtId="169" fontId="2" fillId="4" borderId="15" xfId="0" applyNumberFormat="1" applyFont="1" applyFill="1" applyBorder="1" applyAlignment="1">
      <alignment horizontal="center"/>
    </xf>
    <xf numFmtId="0" fontId="34" fillId="10" borderId="19" xfId="0" applyFont="1" applyFill="1" applyBorder="1" applyAlignment="1">
      <alignment horizontal="left" indent="10"/>
    </xf>
    <xf numFmtId="0" fontId="0" fillId="4" borderId="18" xfId="0" applyFill="1" applyBorder="1"/>
    <xf numFmtId="169" fontId="0" fillId="4" borderId="18" xfId="0" applyNumberFormat="1" applyFill="1" applyBorder="1" applyAlignment="1">
      <alignment horizontal="center"/>
    </xf>
    <xf numFmtId="169" fontId="0" fillId="4" borderId="0" xfId="0" applyNumberFormat="1" applyFill="1" applyBorder="1" applyAlignment="1">
      <alignment horizontal="center"/>
    </xf>
    <xf numFmtId="169" fontId="0" fillId="4" borderId="6" xfId="0" applyNumberFormat="1" applyFill="1" applyBorder="1" applyAlignment="1">
      <alignment horizontal="center"/>
    </xf>
    <xf numFmtId="0" fontId="3" fillId="0" borderId="0" xfId="0" applyFont="1" applyFill="1" applyBorder="1" applyAlignment="1">
      <alignment horizontal="center"/>
    </xf>
    <xf numFmtId="166" fontId="3" fillId="0" borderId="0" xfId="2" applyNumberFormat="1" applyFont="1" applyFill="1" applyBorder="1"/>
    <xf numFmtId="166" fontId="3" fillId="0" borderId="0" xfId="2" applyNumberFormat="1" applyFont="1" applyFill="1" applyBorder="1" applyAlignment="1">
      <alignment horizontal="center"/>
    </xf>
    <xf numFmtId="0" fontId="38" fillId="0" borderId="0" xfId="2" applyFont="1" applyFill="1" applyBorder="1"/>
    <xf numFmtId="0" fontId="39" fillId="0" borderId="0" xfId="2" applyFont="1" applyFill="1" applyBorder="1" applyAlignment="1">
      <alignment horizontal="center" wrapText="1"/>
    </xf>
    <xf numFmtId="0" fontId="38" fillId="0" borderId="0" xfId="2" applyFont="1" applyBorder="1"/>
    <xf numFmtId="0" fontId="5" fillId="0" borderId="0" xfId="0" applyFont="1"/>
    <xf numFmtId="0" fontId="2" fillId="10" borderId="19" xfId="0" applyFont="1" applyFill="1" applyBorder="1"/>
    <xf numFmtId="0" fontId="2" fillId="10" borderId="18" xfId="0" applyFont="1" applyFill="1" applyBorder="1" applyAlignment="1">
      <alignment horizontal="left"/>
    </xf>
    <xf numFmtId="0" fontId="2" fillId="10" borderId="18" xfId="0" applyFont="1" applyFill="1" applyBorder="1"/>
    <xf numFmtId="0" fontId="2" fillId="10" borderId="18" xfId="0" applyFont="1" applyFill="1" applyBorder="1" applyAlignment="1">
      <alignment horizontal="center"/>
    </xf>
    <xf numFmtId="0" fontId="5" fillId="10" borderId="17" xfId="0" applyFont="1" applyFill="1" applyBorder="1" applyAlignment="1">
      <alignment horizontal="center" vertical="center" wrapText="1"/>
    </xf>
    <xf numFmtId="0" fontId="5" fillId="10" borderId="0" xfId="0" applyFont="1" applyFill="1" applyBorder="1" applyAlignment="1">
      <alignment horizontal="left" vertical="center" wrapText="1"/>
    </xf>
    <xf numFmtId="0" fontId="5" fillId="10" borderId="0"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6" xfId="0" applyFont="1" applyFill="1" applyBorder="1" applyAlignment="1">
      <alignment horizontal="left" vertical="center" wrapText="1"/>
    </xf>
    <xf numFmtId="0" fontId="5" fillId="10" borderId="6" xfId="0" applyFont="1" applyFill="1" applyBorder="1" applyAlignment="1">
      <alignment horizontal="center" vertical="center" wrapText="1"/>
    </xf>
    <xf numFmtId="0" fontId="5" fillId="10" borderId="13" xfId="0" applyFont="1" applyFill="1" applyBorder="1" applyAlignment="1">
      <alignment horizontal="center" vertical="center" wrapText="1"/>
    </xf>
    <xf numFmtId="167" fontId="1" fillId="0" borderId="18" xfId="1" applyNumberFormat="1" applyFont="1" applyFill="1" applyBorder="1"/>
    <xf numFmtId="167" fontId="1" fillId="0" borderId="0" xfId="1" applyNumberFormat="1" applyFont="1" applyFill="1" applyBorder="1"/>
    <xf numFmtId="167" fontId="1" fillId="0" borderId="6" xfId="1" applyNumberFormat="1" applyFont="1" applyFill="1" applyBorder="1"/>
    <xf numFmtId="0" fontId="2" fillId="0" borderId="0" xfId="2" applyFont="1" applyFill="1" applyBorder="1" applyAlignment="1">
      <alignment horizontal="right"/>
    </xf>
    <xf numFmtId="0" fontId="2" fillId="0" borderId="0" xfId="2" applyFont="1" applyBorder="1"/>
    <xf numFmtId="0" fontId="5" fillId="0" borderId="0" xfId="2" applyFont="1" applyBorder="1"/>
    <xf numFmtId="0" fontId="5" fillId="10" borderId="0" xfId="2" applyFont="1" applyFill="1" applyBorder="1"/>
    <xf numFmtId="0" fontId="5" fillId="10" borderId="19" xfId="0" applyFont="1" applyFill="1" applyBorder="1" applyAlignment="1">
      <alignment horizontal="left" indent="32"/>
    </xf>
    <xf numFmtId="0" fontId="5" fillId="10" borderId="18" xfId="0" applyFont="1" applyFill="1" applyBorder="1" applyAlignment="1">
      <alignment horizontal="left" indent="32"/>
    </xf>
    <xf numFmtId="0" fontId="5" fillId="10" borderId="11" xfId="0" applyFont="1" applyFill="1" applyBorder="1" applyAlignment="1">
      <alignment horizontal="left" indent="32"/>
    </xf>
    <xf numFmtId="0" fontId="5" fillId="10" borderId="14" xfId="0" applyFont="1" applyFill="1" applyBorder="1" applyAlignment="1">
      <alignment horizontal="left" indent="32"/>
    </xf>
    <xf numFmtId="0" fontId="5" fillId="10" borderId="15" xfId="0" applyFont="1" applyFill="1" applyBorder="1" applyAlignment="1">
      <alignment horizontal="left" indent="32"/>
    </xf>
    <xf numFmtId="0" fontId="5" fillId="10" borderId="16" xfId="0" applyFont="1" applyFill="1" applyBorder="1" applyAlignment="1">
      <alignment horizontal="left" indent="32"/>
    </xf>
    <xf numFmtId="0" fontId="5" fillId="10" borderId="17" xfId="0" applyFont="1" applyFill="1" applyBorder="1" applyAlignment="1">
      <alignment horizontal="center"/>
    </xf>
    <xf numFmtId="0" fontId="5" fillId="10" borderId="0" xfId="0" applyFont="1" applyFill="1" applyBorder="1" applyAlignment="1">
      <alignment horizontal="center"/>
    </xf>
    <xf numFmtId="0" fontId="5" fillId="10" borderId="7" xfId="0" applyFont="1" applyFill="1" applyBorder="1" applyAlignment="1">
      <alignment horizontal="center"/>
    </xf>
    <xf numFmtId="3" fontId="20" fillId="0" borderId="16" xfId="1" applyNumberFormat="1" applyFont="1" applyBorder="1" applyAlignment="1">
      <alignment horizontal="right" indent="6"/>
    </xf>
    <xf numFmtId="0" fontId="5" fillId="9" borderId="17" xfId="2" applyNumberFormat="1" applyFont="1" applyFill="1" applyBorder="1"/>
    <xf numFmtId="0" fontId="5" fillId="9" borderId="0" xfId="2" applyNumberFormat="1" applyFont="1" applyFill="1" applyBorder="1"/>
    <xf numFmtId="166" fontId="5" fillId="9" borderId="7" xfId="6" applyFont="1" applyFill="1" applyBorder="1"/>
    <xf numFmtId="0" fontId="40" fillId="0" borderId="0" xfId="2" applyFont="1" applyFill="1" applyBorder="1"/>
    <xf numFmtId="0" fontId="41" fillId="0" borderId="0" xfId="2" applyFont="1" applyBorder="1"/>
    <xf numFmtId="0" fontId="41" fillId="0" borderId="0" xfId="2" applyFont="1" applyBorder="1" applyAlignment="1">
      <alignment horizontal="left"/>
    </xf>
    <xf numFmtId="0" fontId="0" fillId="4" borderId="10" xfId="0" applyFill="1" applyBorder="1" applyAlignment="1">
      <alignment horizontal="left"/>
    </xf>
    <xf numFmtId="0" fontId="0" fillId="4" borderId="9" xfId="0" applyFill="1" applyBorder="1" applyAlignment="1">
      <alignment horizontal="left" indent="1"/>
    </xf>
    <xf numFmtId="0" fontId="0" fillId="4" borderId="12" xfId="0" applyFill="1" applyBorder="1" applyAlignment="1">
      <alignment horizontal="left" indent="1"/>
    </xf>
    <xf numFmtId="9" fontId="0" fillId="2" borderId="12" xfId="0" applyNumberFormat="1" applyFont="1" applyFill="1" applyBorder="1"/>
    <xf numFmtId="0" fontId="29" fillId="9" borderId="18" xfId="2" applyFont="1" applyFill="1" applyBorder="1" applyAlignment="1">
      <alignment horizontal="center"/>
    </xf>
    <xf numFmtId="169" fontId="29" fillId="9" borderId="18" xfId="5" applyNumberFormat="1" applyFont="1" applyFill="1" applyBorder="1" applyAlignment="1">
      <alignment horizontal="center" wrapText="1"/>
    </xf>
    <xf numFmtId="0" fontId="2" fillId="8" borderId="0" xfId="0" applyFont="1" applyFill="1"/>
    <xf numFmtId="2" fontId="0" fillId="0" borderId="0" xfId="0" applyNumberFormat="1"/>
    <xf numFmtId="43" fontId="0" fillId="0" borderId="0" xfId="1" applyFont="1"/>
    <xf numFmtId="169" fontId="0" fillId="4" borderId="11" xfId="5" applyNumberFormat="1" applyFont="1" applyFill="1" applyBorder="1" applyAlignment="1">
      <alignment horizontal="right" indent="2"/>
    </xf>
    <xf numFmtId="169" fontId="0" fillId="4" borderId="7" xfId="5" applyNumberFormat="1" applyFont="1" applyFill="1" applyBorder="1" applyAlignment="1">
      <alignment horizontal="right" indent="2"/>
    </xf>
    <xf numFmtId="169" fontId="0" fillId="4" borderId="13" xfId="5" applyNumberFormat="1" applyFont="1" applyFill="1" applyBorder="1" applyAlignment="1">
      <alignment horizontal="right" indent="2"/>
    </xf>
    <xf numFmtId="0" fontId="29" fillId="10" borderId="19" xfId="2" applyFont="1" applyFill="1" applyBorder="1" applyAlignment="1">
      <alignment horizontal="left"/>
    </xf>
    <xf numFmtId="0" fontId="29" fillId="10" borderId="18" xfId="2" applyFont="1" applyFill="1" applyBorder="1" applyAlignment="1">
      <alignment horizontal="right"/>
    </xf>
    <xf numFmtId="168" fontId="29" fillId="10" borderId="18" xfId="2" applyNumberFormat="1" applyFont="1" applyFill="1" applyBorder="1" applyAlignment="1">
      <alignment horizontal="center"/>
    </xf>
    <xf numFmtId="9" fontId="5" fillId="10" borderId="18" xfId="5" applyFont="1" applyFill="1" applyBorder="1" applyAlignment="1">
      <alignment horizontal="center"/>
    </xf>
    <xf numFmtId="0" fontId="5" fillId="10" borderId="18" xfId="2" applyFont="1" applyFill="1" applyBorder="1" applyAlignment="1">
      <alignment horizontal="center" wrapText="1"/>
    </xf>
    <xf numFmtId="169" fontId="0" fillId="4" borderId="18" xfId="5" applyNumberFormat="1" applyFont="1" applyFill="1" applyBorder="1" applyAlignment="1">
      <alignment horizontal="right" indent="2"/>
    </xf>
    <xf numFmtId="0" fontId="28" fillId="0" borderId="0" xfId="2" quotePrefix="1" applyFont="1" applyFill="1" applyBorder="1" applyAlignment="1">
      <alignment horizontal="center"/>
    </xf>
    <xf numFmtId="0" fontId="8" fillId="6" borderId="0" xfId="2" applyFont="1" applyFill="1" applyBorder="1"/>
    <xf numFmtId="0" fontId="20" fillId="6" borderId="0" xfId="2" applyNumberFormat="1" applyFont="1" applyFill="1" applyBorder="1"/>
    <xf numFmtId="0" fontId="1" fillId="6" borderId="0" xfId="2" quotePrefix="1" applyFont="1" applyFill="1" applyBorder="1"/>
    <xf numFmtId="166" fontId="20" fillId="6" borderId="0" xfId="2" quotePrefix="1" applyNumberFormat="1" applyFont="1" applyFill="1" applyBorder="1"/>
    <xf numFmtId="168" fontId="20" fillId="6" borderId="0" xfId="2" quotePrefix="1" applyNumberFormat="1" applyFont="1" applyFill="1" applyBorder="1"/>
    <xf numFmtId="169" fontId="20" fillId="6" borderId="0" xfId="4" applyNumberFormat="1" applyFont="1" applyFill="1" applyBorder="1"/>
    <xf numFmtId="0" fontId="13" fillId="6" borderId="0" xfId="2" applyFont="1" applyFill="1" applyBorder="1"/>
    <xf numFmtId="166" fontId="13" fillId="6" borderId="0" xfId="6" applyFont="1" applyFill="1" applyBorder="1" applyAlignment="1">
      <alignment horizontal="center"/>
    </xf>
    <xf numFmtId="168" fontId="10" fillId="6" borderId="0" xfId="2" applyNumberFormat="1" applyFont="1" applyFill="1" applyBorder="1"/>
    <xf numFmtId="9" fontId="10" fillId="6" borderId="0" xfId="5" quotePrefix="1" applyFont="1" applyFill="1" applyBorder="1" applyAlignment="1">
      <alignment horizontal="center"/>
    </xf>
    <xf numFmtId="0" fontId="25" fillId="6" borderId="0" xfId="2" applyFont="1" applyFill="1" applyBorder="1"/>
    <xf numFmtId="14" fontId="12" fillId="0" borderId="0" xfId="2" applyNumberFormat="1" applyFont="1" applyFill="1" applyBorder="1"/>
    <xf numFmtId="169" fontId="0" fillId="0" borderId="0" xfId="0" applyNumberFormat="1" applyAlignment="1">
      <alignment horizontal="center"/>
    </xf>
    <xf numFmtId="166" fontId="0" fillId="0" borderId="0" xfId="0" applyNumberFormat="1"/>
    <xf numFmtId="0" fontId="3" fillId="10" borderId="18" xfId="0" applyFont="1" applyFill="1" applyBorder="1" applyAlignment="1">
      <alignment horizontal="center"/>
    </xf>
    <xf numFmtId="0" fontId="5" fillId="10" borderId="19" xfId="0" applyFont="1" applyFill="1" applyBorder="1" applyAlignment="1">
      <alignment horizontal="left" indent="7"/>
    </xf>
    <xf numFmtId="175" fontId="13" fillId="0" borderId="0" xfId="6" applyNumberFormat="1" applyFont="1" applyFill="1" applyBorder="1" applyAlignment="1">
      <alignment horizontal="center"/>
    </xf>
    <xf numFmtId="0" fontId="20" fillId="0" borderId="0" xfId="2" quotePrefix="1" applyFont="1" applyFill="1" applyBorder="1"/>
    <xf numFmtId="168" fontId="13" fillId="0" borderId="0" xfId="2" applyNumberFormat="1" applyFont="1" applyFill="1" applyBorder="1"/>
    <xf numFmtId="9" fontId="13" fillId="0" borderId="0" xfId="5" quotePrefix="1" applyFont="1" applyFill="1" applyBorder="1" applyAlignment="1">
      <alignment horizontal="center"/>
    </xf>
    <xf numFmtId="0" fontId="42" fillId="0" borderId="0" xfId="2" applyFont="1" applyFill="1" applyBorder="1" applyAlignment="1">
      <alignment horizontal="right"/>
    </xf>
    <xf numFmtId="0" fontId="27" fillId="0" borderId="0" xfId="2" applyFont="1" applyFill="1" applyBorder="1" applyAlignment="1">
      <alignment horizontal="center"/>
    </xf>
    <xf numFmtId="10" fontId="42" fillId="0" borderId="0" xfId="5" applyNumberFormat="1" applyFont="1" applyFill="1" applyBorder="1" applyAlignment="1">
      <alignment horizontal="center"/>
    </xf>
    <xf numFmtId="0" fontId="27" fillId="0" borderId="0" xfId="2" applyFont="1" applyFill="1" applyBorder="1" applyAlignment="1">
      <alignment horizontal="center" wrapText="1"/>
    </xf>
    <xf numFmtId="0" fontId="27" fillId="0" borderId="0" xfId="4" applyNumberFormat="1" applyFont="1" applyFill="1" applyBorder="1" applyAlignment="1">
      <alignment horizontal="center" wrapText="1"/>
    </xf>
    <xf numFmtId="168" fontId="42" fillId="0" borderId="0" xfId="2" applyNumberFormat="1" applyFont="1" applyFill="1" applyBorder="1" applyAlignment="1">
      <alignment horizontal="center"/>
    </xf>
    <xf numFmtId="0" fontId="27" fillId="0" borderId="0" xfId="2" applyNumberFormat="1" applyFont="1" applyFill="1" applyBorder="1" applyAlignment="1">
      <alignment horizontal="center" wrapText="1"/>
    </xf>
    <xf numFmtId="0" fontId="43" fillId="0" borderId="0" xfId="2" applyFont="1" applyFill="1" applyBorder="1" applyAlignment="1">
      <alignment horizontal="center" wrapText="1"/>
    </xf>
    <xf numFmtId="168" fontId="27" fillId="0" borderId="0" xfId="2" applyNumberFormat="1" applyFont="1" applyFill="1" applyBorder="1" applyAlignment="1">
      <alignment horizontal="center" vertical="center" wrapText="1"/>
    </xf>
    <xf numFmtId="168" fontId="27" fillId="0" borderId="0" xfId="2" applyNumberFormat="1" applyFont="1" applyFill="1" applyBorder="1" applyAlignment="1">
      <alignment horizontal="right" vertical="center" wrapText="1"/>
    </xf>
    <xf numFmtId="169" fontId="27" fillId="0" borderId="0" xfId="5" applyNumberFormat="1" applyFont="1" applyFill="1" applyBorder="1" applyAlignment="1">
      <alignment horizontal="right" vertical="center"/>
    </xf>
    <xf numFmtId="169" fontId="27" fillId="0" borderId="0" xfId="5" applyNumberFormat="1" applyFont="1" applyFill="1" applyBorder="1" applyAlignment="1">
      <alignment horizontal="center" vertical="center"/>
    </xf>
    <xf numFmtId="0" fontId="27" fillId="0" borderId="0" xfId="2" applyFont="1" applyFill="1" applyBorder="1"/>
    <xf numFmtId="0" fontId="13" fillId="0" borderId="0" xfId="2" applyNumberFormat="1" applyFont="1" applyFill="1" applyBorder="1"/>
    <xf numFmtId="168" fontId="13" fillId="0" borderId="0" xfId="2" applyNumberFormat="1" applyFont="1" applyFill="1" applyBorder="1" applyAlignment="1">
      <alignment horizontal="right" indent="2"/>
    </xf>
    <xf numFmtId="168" fontId="13" fillId="0" borderId="0" xfId="2" applyNumberFormat="1" applyFont="1" applyFill="1" applyBorder="1" applyAlignment="1">
      <alignment horizontal="center"/>
    </xf>
    <xf numFmtId="10" fontId="13" fillId="0" borderId="0" xfId="4" applyNumberFormat="1" applyFont="1" applyFill="1" applyBorder="1"/>
    <xf numFmtId="175" fontId="13" fillId="0" borderId="0" xfId="2" applyNumberFormat="1" applyFont="1" applyFill="1" applyBorder="1" applyAlignment="1">
      <alignment horizontal="center"/>
    </xf>
    <xf numFmtId="169" fontId="13" fillId="0" borderId="0" xfId="5" applyNumberFormat="1" applyFont="1" applyFill="1" applyBorder="1"/>
    <xf numFmtId="0" fontId="30" fillId="0" borderId="0" xfId="0" applyFont="1"/>
    <xf numFmtId="0" fontId="3" fillId="0" borderId="0" xfId="0" applyFont="1" applyAlignment="1">
      <alignment horizontal="left" indent="1"/>
    </xf>
    <xf numFmtId="169" fontId="0" fillId="4" borderId="11" xfId="5" applyNumberFormat="1" applyFont="1" applyFill="1" applyBorder="1"/>
    <xf numFmtId="169" fontId="0" fillId="4" borderId="7" xfId="5" applyNumberFormat="1" applyFont="1" applyFill="1" applyBorder="1"/>
    <xf numFmtId="169" fontId="0" fillId="4" borderId="20" xfId="5" applyNumberFormat="1" applyFont="1" applyFill="1" applyBorder="1" applyAlignment="1">
      <alignment horizontal="center"/>
    </xf>
    <xf numFmtId="169" fontId="0" fillId="4" borderId="13" xfId="5" applyNumberFormat="1" applyFont="1" applyFill="1" applyBorder="1"/>
    <xf numFmtId="169" fontId="0" fillId="4" borderId="7" xfId="0" applyNumberFormat="1" applyFill="1" applyBorder="1"/>
    <xf numFmtId="169" fontId="0" fillId="4" borderId="13" xfId="0" applyNumberFormat="1" applyFill="1" applyBorder="1"/>
    <xf numFmtId="0" fontId="29" fillId="10" borderId="18" xfId="2" applyFont="1" applyFill="1" applyBorder="1" applyAlignment="1">
      <alignment horizontal="center"/>
    </xf>
    <xf numFmtId="0" fontId="60" fillId="10" borderId="18" xfId="2" applyFont="1" applyFill="1" applyBorder="1"/>
    <xf numFmtId="0" fontId="58" fillId="0" borderId="0" xfId="2" quotePrefix="1" applyFont="1" applyFill="1" applyBorder="1"/>
    <xf numFmtId="169" fontId="26" fillId="10" borderId="11" xfId="5" applyNumberFormat="1" applyFont="1" applyFill="1" applyBorder="1" applyAlignment="1">
      <alignment horizontal="center"/>
    </xf>
    <xf numFmtId="0" fontId="61" fillId="0" borderId="0" xfId="2" applyFont="1" applyBorder="1"/>
    <xf numFmtId="0" fontId="5" fillId="9" borderId="6" xfId="2" applyNumberFormat="1" applyFont="1" applyFill="1" applyBorder="1" applyAlignment="1">
      <alignment horizontal="left" indent="1"/>
    </xf>
    <xf numFmtId="0" fontId="5" fillId="9" borderId="6" xfId="2" applyFont="1" applyFill="1" applyBorder="1" applyAlignment="1">
      <alignment horizontal="right" indent="3"/>
    </xf>
    <xf numFmtId="164" fontId="5" fillId="9" borderId="0" xfId="2" applyNumberFormat="1" applyFont="1" applyFill="1" applyBorder="1" applyAlignment="1">
      <alignment horizontal="right" indent="2"/>
    </xf>
    <xf numFmtId="169" fontId="5" fillId="9" borderId="0" xfId="4" applyNumberFormat="1" applyFont="1" applyFill="1" applyBorder="1" applyAlignment="1">
      <alignment horizontal="right" indent="3"/>
    </xf>
    <xf numFmtId="0" fontId="39" fillId="0" borderId="0" xfId="2" applyFont="1" applyBorder="1"/>
    <xf numFmtId="166" fontId="5" fillId="0" borderId="0" xfId="2" applyNumberFormat="1" applyFont="1" applyFill="1" applyBorder="1"/>
    <xf numFmtId="0" fontId="8" fillId="7" borderId="19" xfId="2" applyFont="1" applyFill="1" applyBorder="1" applyAlignment="1">
      <alignment horizontal="center"/>
    </xf>
    <xf numFmtId="3" fontId="1" fillId="0" borderId="18" xfId="2" quotePrefix="1" applyNumberFormat="1" applyFont="1" applyFill="1" applyBorder="1" applyAlignment="1">
      <alignment horizontal="left" indent="5"/>
    </xf>
    <xf numFmtId="165" fontId="20" fillId="4" borderId="0" xfId="2" quotePrefix="1" applyNumberFormat="1" applyFont="1" applyFill="1" applyBorder="1" applyAlignment="1">
      <alignment horizontal="right" indent="3"/>
    </xf>
    <xf numFmtId="164" fontId="20" fillId="4" borderId="18" xfId="2" quotePrefix="1" applyNumberFormat="1" applyFont="1" applyFill="1" applyBorder="1" applyAlignment="1">
      <alignment horizontal="right" indent="2"/>
    </xf>
    <xf numFmtId="169" fontId="20" fillId="4" borderId="11" xfId="4" applyNumberFormat="1" applyFont="1" applyFill="1" applyBorder="1" applyAlignment="1">
      <alignment horizontal="right" indent="3"/>
    </xf>
    <xf numFmtId="0" fontId="8" fillId="7" borderId="17" xfId="2" applyFont="1" applyFill="1" applyBorder="1" applyAlignment="1">
      <alignment horizontal="center"/>
    </xf>
    <xf numFmtId="3" fontId="1" fillId="0" borderId="0" xfId="2" quotePrefix="1" applyNumberFormat="1" applyFont="1" applyFill="1" applyBorder="1" applyAlignment="1">
      <alignment horizontal="left" indent="5"/>
    </xf>
    <xf numFmtId="164" fontId="20" fillId="4" borderId="0" xfId="2" quotePrefix="1" applyNumberFormat="1" applyFont="1" applyFill="1" applyBorder="1" applyAlignment="1">
      <alignment horizontal="right" indent="2"/>
    </xf>
    <xf numFmtId="169" fontId="20" fillId="4" borderId="7" xfId="4" applyNumberFormat="1" applyFont="1" applyFill="1" applyBorder="1" applyAlignment="1">
      <alignment horizontal="right" indent="3"/>
    </xf>
    <xf numFmtId="0" fontId="8" fillId="7" borderId="20" xfId="2" applyFont="1" applyFill="1" applyBorder="1" applyAlignment="1">
      <alignment horizontal="center"/>
    </xf>
    <xf numFmtId="3" fontId="1" fillId="0" borderId="6" xfId="2" quotePrefix="1" applyNumberFormat="1" applyFont="1" applyFill="1" applyBorder="1" applyAlignment="1">
      <alignment horizontal="left" indent="5"/>
    </xf>
    <xf numFmtId="165" fontId="20" fillId="4" borderId="6" xfId="2" quotePrefix="1" applyNumberFormat="1" applyFont="1" applyFill="1" applyBorder="1" applyAlignment="1">
      <alignment horizontal="right" indent="3"/>
    </xf>
    <xf numFmtId="164" fontId="20" fillId="4" borderId="6" xfId="2" quotePrefix="1" applyNumberFormat="1" applyFont="1" applyFill="1" applyBorder="1" applyAlignment="1">
      <alignment horizontal="right" indent="2"/>
    </xf>
    <xf numFmtId="169" fontId="20" fillId="4" borderId="13" xfId="4" applyNumberFormat="1" applyFont="1" applyFill="1" applyBorder="1" applyAlignment="1">
      <alignment horizontal="right" indent="3"/>
    </xf>
    <xf numFmtId="0" fontId="16" fillId="10" borderId="0" xfId="2" applyFont="1" applyFill="1" applyBorder="1" applyAlignment="1">
      <alignment horizontal="center" wrapText="1"/>
    </xf>
    <xf numFmtId="0" fontId="16" fillId="10" borderId="7" xfId="2" applyFont="1" applyFill="1" applyBorder="1" applyAlignment="1">
      <alignment horizontal="center" wrapText="1"/>
    </xf>
    <xf numFmtId="0" fontId="62" fillId="0" borderId="0" xfId="2" applyFont="1" applyFill="1" applyBorder="1"/>
    <xf numFmtId="0" fontId="2" fillId="11" borderId="17" xfId="2" applyNumberFormat="1" applyFont="1" applyFill="1" applyBorder="1"/>
    <xf numFmtId="0" fontId="5" fillId="11" borderId="0" xfId="2" applyFont="1" applyFill="1" applyBorder="1"/>
    <xf numFmtId="0" fontId="5" fillId="11" borderId="0" xfId="2" applyNumberFormat="1" applyFont="1" applyFill="1" applyBorder="1"/>
    <xf numFmtId="168" fontId="16" fillId="11" borderId="7" xfId="2" applyNumberFormat="1" applyFont="1" applyFill="1" applyBorder="1" applyAlignment="1">
      <alignment horizontal="center"/>
    </xf>
    <xf numFmtId="0" fontId="1" fillId="2" borderId="10" xfId="2" applyFont="1" applyFill="1" applyBorder="1" applyAlignment="1">
      <alignment horizontal="center"/>
    </xf>
    <xf numFmtId="0" fontId="20" fillId="0" borderId="19" xfId="2" applyNumberFormat="1" applyFont="1" applyFill="1" applyBorder="1"/>
    <xf numFmtId="0" fontId="20" fillId="0" borderId="18" xfId="2" applyNumberFormat="1" applyFont="1" applyFill="1" applyBorder="1" applyAlignment="1">
      <alignment horizontal="center"/>
    </xf>
    <xf numFmtId="0" fontId="20" fillId="0" borderId="18" xfId="2" applyNumberFormat="1" applyFont="1" applyFill="1" applyBorder="1"/>
    <xf numFmtId="3" fontId="1" fillId="0" borderId="18" xfId="2" quotePrefix="1" applyNumberFormat="1" applyFont="1" applyFill="1" applyBorder="1" applyAlignment="1">
      <alignment horizontal="right" indent="7"/>
    </xf>
    <xf numFmtId="174" fontId="1" fillId="0" borderId="18" xfId="2" quotePrefix="1" applyNumberFormat="1" applyFont="1" applyFill="1" applyBorder="1" applyAlignment="1">
      <alignment horizontal="right" indent="4"/>
    </xf>
    <xf numFmtId="176" fontId="1" fillId="0" borderId="18" xfId="2" quotePrefix="1" applyNumberFormat="1" applyFont="1" applyFill="1" applyBorder="1" applyAlignment="1">
      <alignment horizontal="right" indent="4"/>
    </xf>
    <xf numFmtId="10" fontId="10" fillId="0" borderId="11" xfId="5" quotePrefix="1" applyNumberFormat="1" applyFont="1" applyFill="1" applyBorder="1" applyAlignment="1">
      <alignment horizontal="center"/>
    </xf>
    <xf numFmtId="0" fontId="1" fillId="2" borderId="9" xfId="2" applyFont="1" applyFill="1" applyBorder="1" applyAlignment="1">
      <alignment horizontal="center"/>
    </xf>
    <xf numFmtId="0" fontId="20" fillId="0" borderId="17" xfId="2" applyNumberFormat="1" applyFont="1" applyFill="1" applyBorder="1"/>
    <xf numFmtId="0" fontId="20" fillId="0" borderId="0" xfId="2" applyNumberFormat="1" applyFont="1" applyFill="1" applyBorder="1" applyAlignment="1">
      <alignment horizontal="center"/>
    </xf>
    <xf numFmtId="3" fontId="1" fillId="0" borderId="0" xfId="2" quotePrefix="1" applyNumberFormat="1" applyFont="1" applyFill="1" applyBorder="1" applyAlignment="1">
      <alignment horizontal="right" indent="7"/>
    </xf>
    <xf numFmtId="174" fontId="1" fillId="0" borderId="0" xfId="2" quotePrefix="1" applyNumberFormat="1" applyFont="1" applyFill="1" applyBorder="1" applyAlignment="1">
      <alignment horizontal="right" indent="4"/>
    </xf>
    <xf numFmtId="176" fontId="1" fillId="0" borderId="0" xfId="2" quotePrefix="1" applyNumberFormat="1" applyFont="1" applyFill="1" applyBorder="1" applyAlignment="1">
      <alignment horizontal="right" indent="4"/>
    </xf>
    <xf numFmtId="10" fontId="10" fillId="0" borderId="7" xfId="5" quotePrefix="1" applyNumberFormat="1" applyFont="1" applyFill="1" applyBorder="1" applyAlignment="1">
      <alignment horizontal="center"/>
    </xf>
    <xf numFmtId="0" fontId="1" fillId="2" borderId="12" xfId="2" applyFont="1" applyFill="1" applyBorder="1" applyAlignment="1">
      <alignment horizontal="center"/>
    </xf>
    <xf numFmtId="0" fontId="20" fillId="0" borderId="20" xfId="2" applyNumberFormat="1" applyFont="1" applyFill="1" applyBorder="1"/>
    <xf numFmtId="0" fontId="20" fillId="0" borderId="6" xfId="2" applyNumberFormat="1" applyFont="1" applyFill="1" applyBorder="1" applyAlignment="1">
      <alignment horizontal="center"/>
    </xf>
    <xf numFmtId="0" fontId="20" fillId="0" borderId="6" xfId="2" applyNumberFormat="1" applyFont="1" applyFill="1" applyBorder="1"/>
    <xf numFmtId="3" fontId="1" fillId="0" borderId="6" xfId="2" quotePrefix="1" applyNumberFormat="1" applyFont="1" applyFill="1" applyBorder="1" applyAlignment="1">
      <alignment horizontal="right" indent="7"/>
    </xf>
    <xf numFmtId="174" fontId="1" fillId="0" borderId="6" xfId="2" quotePrefix="1" applyNumberFormat="1" applyFont="1" applyFill="1" applyBorder="1" applyAlignment="1">
      <alignment horizontal="right" indent="4"/>
    </xf>
    <xf numFmtId="176" fontId="1" fillId="0" borderId="6" xfId="2" quotePrefix="1" applyNumberFormat="1" applyFont="1" applyFill="1" applyBorder="1" applyAlignment="1">
      <alignment horizontal="right" indent="4"/>
    </xf>
    <xf numFmtId="10" fontId="10" fillId="0" borderId="13" xfId="5" quotePrefix="1" applyNumberFormat="1" applyFont="1" applyFill="1" applyBorder="1" applyAlignment="1">
      <alignment horizontal="center"/>
    </xf>
    <xf numFmtId="0" fontId="5" fillId="10" borderId="19" xfId="2" applyFont="1" applyFill="1" applyBorder="1" applyAlignment="1">
      <alignment horizontal="left"/>
    </xf>
    <xf numFmtId="0" fontId="5" fillId="10" borderId="18" xfId="2" applyFont="1" applyFill="1" applyBorder="1" applyAlignment="1">
      <alignment horizontal="right"/>
    </xf>
    <xf numFmtId="168" fontId="5" fillId="10" borderId="18" xfId="2" applyNumberFormat="1" applyFont="1" applyFill="1" applyBorder="1" applyAlignment="1">
      <alignment horizontal="center"/>
    </xf>
    <xf numFmtId="0" fontId="1" fillId="11" borderId="17" xfId="2" applyNumberFormat="1" applyFont="1" applyFill="1" applyBorder="1"/>
    <xf numFmtId="0" fontId="3" fillId="11" borderId="0" xfId="2" applyFont="1" applyFill="1" applyBorder="1"/>
    <xf numFmtId="0" fontId="3" fillId="11" borderId="0" xfId="2" applyNumberFormat="1" applyFont="1" applyFill="1" applyBorder="1"/>
    <xf numFmtId="0" fontId="1" fillId="2" borderId="19" xfId="2" applyFont="1" applyFill="1" applyBorder="1" applyAlignment="1">
      <alignment horizontal="center"/>
    </xf>
    <xf numFmtId="0" fontId="13" fillId="0" borderId="18" xfId="2" applyFont="1" applyFill="1" applyBorder="1"/>
    <xf numFmtId="3" fontId="13" fillId="0" borderId="18" xfId="2" applyNumberFormat="1" applyFont="1" applyFill="1" applyBorder="1" applyAlignment="1">
      <alignment horizontal="right" indent="6"/>
    </xf>
    <xf numFmtId="164" fontId="10" fillId="0" borderId="0" xfId="2" applyNumberFormat="1" applyFont="1" applyFill="1" applyBorder="1" applyAlignment="1">
      <alignment horizontal="right" indent="5"/>
    </xf>
    <xf numFmtId="0" fontId="1" fillId="2" borderId="17" xfId="2" applyFont="1" applyFill="1" applyBorder="1" applyAlignment="1">
      <alignment horizontal="center"/>
    </xf>
    <xf numFmtId="3" fontId="13" fillId="0" borderId="0" xfId="2" applyNumberFormat="1" applyFont="1" applyFill="1" applyBorder="1" applyAlignment="1">
      <alignment horizontal="right" indent="6"/>
    </xf>
    <xf numFmtId="166" fontId="13" fillId="0" borderId="0" xfId="6" applyFont="1" applyFill="1" applyBorder="1"/>
    <xf numFmtId="0" fontId="13" fillId="2" borderId="20" xfId="2" applyFont="1" applyFill="1" applyBorder="1" applyAlignment="1">
      <alignment horizontal="center"/>
    </xf>
    <xf numFmtId="0" fontId="13" fillId="0" borderId="6" xfId="2" applyFont="1" applyFill="1" applyBorder="1"/>
    <xf numFmtId="3" fontId="13" fillId="0" borderId="6" xfId="2" applyNumberFormat="1" applyFont="1" applyFill="1" applyBorder="1" applyAlignment="1">
      <alignment horizontal="right" indent="6"/>
    </xf>
    <xf numFmtId="166" fontId="13" fillId="0" borderId="6" xfId="6" applyFont="1" applyFill="1" applyBorder="1"/>
    <xf numFmtId="164" fontId="10" fillId="0" borderId="6" xfId="2" applyNumberFormat="1" applyFont="1" applyFill="1" applyBorder="1" applyAlignment="1">
      <alignment horizontal="right" indent="5"/>
    </xf>
    <xf numFmtId="164" fontId="5" fillId="11" borderId="0" xfId="2" applyNumberFormat="1" applyFont="1" applyFill="1" applyBorder="1" applyAlignment="1">
      <alignment horizontal="right" indent="5"/>
    </xf>
    <xf numFmtId="176" fontId="1" fillId="0" borderId="18" xfId="2" quotePrefix="1" applyNumberFormat="1" applyFont="1" applyFill="1" applyBorder="1" applyAlignment="1">
      <alignment horizontal="right" indent="5"/>
    </xf>
    <xf numFmtId="176" fontId="1" fillId="0" borderId="0" xfId="2" quotePrefix="1" applyNumberFormat="1" applyFont="1" applyFill="1" applyBorder="1" applyAlignment="1">
      <alignment horizontal="right" indent="5"/>
    </xf>
    <xf numFmtId="176" fontId="1" fillId="0" borderId="6" xfId="2" quotePrefix="1" applyNumberFormat="1" applyFont="1" applyFill="1" applyBorder="1" applyAlignment="1">
      <alignment horizontal="right" indent="5"/>
    </xf>
    <xf numFmtId="164" fontId="10" fillId="0" borderId="0" xfId="2" applyNumberFormat="1" applyFont="1" applyFill="1" applyBorder="1" applyAlignment="1">
      <alignment horizontal="right" indent="4"/>
    </xf>
    <xf numFmtId="164" fontId="10" fillId="0" borderId="6" xfId="2" applyNumberFormat="1" applyFont="1" applyFill="1" applyBorder="1" applyAlignment="1">
      <alignment horizontal="right" indent="4"/>
    </xf>
    <xf numFmtId="168" fontId="16" fillId="11" borderId="0" xfId="2" applyNumberFormat="1" applyFont="1" applyFill="1" applyBorder="1" applyAlignment="1"/>
    <xf numFmtId="0" fontId="8" fillId="5" borderId="1" xfId="0" applyFont="1" applyFill="1" applyBorder="1" applyAlignment="1" applyProtection="1">
      <alignment horizontal="center"/>
      <protection locked="0"/>
    </xf>
    <xf numFmtId="0" fontId="8" fillId="5" borderId="0" xfId="0" applyFont="1" applyFill="1" applyBorder="1" applyAlignment="1" applyProtection="1">
      <alignment horizontal="center"/>
      <protection locked="0"/>
    </xf>
    <xf numFmtId="9" fontId="8" fillId="5" borderId="2" xfId="5" applyFont="1" applyFill="1" applyBorder="1" applyAlignment="1" applyProtection="1">
      <alignment horizontal="center"/>
      <protection locked="0"/>
    </xf>
    <xf numFmtId="0" fontId="8" fillId="5" borderId="21" xfId="0" applyFont="1" applyFill="1" applyBorder="1" applyAlignment="1" applyProtection="1">
      <alignment horizontal="center"/>
      <protection locked="0"/>
    </xf>
    <xf numFmtId="0" fontId="8" fillId="5" borderId="6" xfId="0" applyFont="1" applyFill="1" applyBorder="1" applyAlignment="1" applyProtection="1">
      <alignment horizontal="center"/>
      <protection locked="0"/>
    </xf>
    <xf numFmtId="9" fontId="8" fillId="5" borderId="22" xfId="5" applyFont="1" applyFill="1" applyBorder="1" applyAlignment="1" applyProtection="1">
      <alignment horizontal="center"/>
      <protection locked="0"/>
    </xf>
    <xf numFmtId="0" fontId="0" fillId="2" borderId="10" xfId="0" applyNumberFormat="1" applyFont="1" applyFill="1" applyBorder="1" applyAlignment="1">
      <alignment horizontal="right"/>
    </xf>
    <xf numFmtId="9" fontId="0" fillId="2" borderId="23" xfId="5" applyFont="1" applyFill="1" applyBorder="1" applyAlignment="1" applyProtection="1">
      <alignment horizontal="center"/>
      <protection locked="0"/>
    </xf>
    <xf numFmtId="169" fontId="8" fillId="5" borderId="19" xfId="0" applyNumberFormat="1" applyFont="1" applyFill="1" applyBorder="1" applyAlignment="1" applyProtection="1">
      <alignment horizontal="right" indent="2"/>
      <protection locked="0"/>
    </xf>
    <xf numFmtId="169" fontId="8" fillId="5" borderId="18" xfId="0" applyNumberFormat="1" applyFont="1" applyFill="1" applyBorder="1" applyAlignment="1" applyProtection="1">
      <alignment horizontal="right" indent="4"/>
      <protection locked="0"/>
    </xf>
    <xf numFmtId="2" fontId="8" fillId="5" borderId="18" xfId="0" applyNumberFormat="1" applyFont="1" applyFill="1" applyBorder="1" applyAlignment="1" applyProtection="1">
      <alignment horizontal="right" indent="3"/>
      <protection locked="0"/>
    </xf>
    <xf numFmtId="169" fontId="8" fillId="5" borderId="10" xfId="0" applyNumberFormat="1" applyFont="1" applyFill="1" applyBorder="1" applyAlignment="1" applyProtection="1">
      <alignment horizontal="right" indent="2"/>
      <protection locked="0"/>
    </xf>
    <xf numFmtId="169" fontId="8" fillId="5" borderId="17" xfId="0" applyNumberFormat="1" applyFont="1" applyFill="1" applyBorder="1" applyAlignment="1" applyProtection="1">
      <alignment horizontal="right" indent="2"/>
      <protection locked="0"/>
    </xf>
    <xf numFmtId="169" fontId="8" fillId="5" borderId="0" xfId="0" applyNumberFormat="1" applyFont="1" applyFill="1" applyBorder="1" applyAlignment="1" applyProtection="1">
      <alignment horizontal="right" indent="4"/>
      <protection locked="0"/>
    </xf>
    <xf numFmtId="2" fontId="8" fillId="5" borderId="0" xfId="0" applyNumberFormat="1" applyFont="1" applyFill="1" applyBorder="1" applyAlignment="1" applyProtection="1">
      <alignment horizontal="right" indent="3"/>
      <protection locked="0"/>
    </xf>
    <xf numFmtId="169" fontId="8" fillId="5" borderId="9" xfId="0" applyNumberFormat="1" applyFont="1" applyFill="1" applyBorder="1" applyAlignment="1" applyProtection="1">
      <alignment horizontal="right" indent="2"/>
      <protection locked="0"/>
    </xf>
    <xf numFmtId="169" fontId="8" fillId="5" borderId="20" xfId="0" applyNumberFormat="1" applyFont="1" applyFill="1" applyBorder="1" applyAlignment="1" applyProtection="1">
      <alignment horizontal="right" indent="2"/>
      <protection locked="0"/>
    </xf>
    <xf numFmtId="169" fontId="8" fillId="5" borderId="6" xfId="0" applyNumberFormat="1" applyFont="1" applyFill="1" applyBorder="1" applyAlignment="1" applyProtection="1">
      <alignment horizontal="right" indent="4"/>
      <protection locked="0"/>
    </xf>
    <xf numFmtId="2" fontId="8" fillId="5" borderId="6" xfId="0" applyNumberFormat="1" applyFont="1" applyFill="1" applyBorder="1" applyAlignment="1" applyProtection="1">
      <alignment horizontal="right" indent="3"/>
      <protection locked="0"/>
    </xf>
    <xf numFmtId="169" fontId="8" fillId="5" borderId="12" xfId="0" applyNumberFormat="1" applyFont="1" applyFill="1" applyBorder="1" applyAlignment="1" applyProtection="1">
      <alignment horizontal="right" indent="2"/>
      <protection locked="0"/>
    </xf>
    <xf numFmtId="166" fontId="8" fillId="5" borderId="18" xfId="6" applyFont="1" applyFill="1" applyBorder="1" applyProtection="1">
      <protection locked="0"/>
    </xf>
    <xf numFmtId="166" fontId="8" fillId="5" borderId="0" xfId="6" applyFont="1" applyFill="1" applyBorder="1" applyProtection="1">
      <protection locked="0"/>
    </xf>
    <xf numFmtId="166" fontId="8" fillId="5" borderId="6" xfId="6" applyFont="1" applyFill="1" applyBorder="1" applyProtection="1">
      <protection locked="0"/>
    </xf>
    <xf numFmtId="167" fontId="8" fillId="5" borderId="18" xfId="1" applyNumberFormat="1" applyFont="1" applyFill="1" applyBorder="1" applyProtection="1">
      <protection locked="0"/>
    </xf>
    <xf numFmtId="14" fontId="8" fillId="5" borderId="0" xfId="2" applyNumberFormat="1" applyFont="1" applyFill="1" applyBorder="1" applyProtection="1">
      <protection locked="0"/>
    </xf>
    <xf numFmtId="167" fontId="8" fillId="5" borderId="0" xfId="1" applyNumberFormat="1" applyFont="1" applyFill="1" applyBorder="1" applyProtection="1">
      <protection locked="0"/>
    </xf>
    <xf numFmtId="167" fontId="8" fillId="5" borderId="6" xfId="1" applyNumberFormat="1" applyFont="1" applyFill="1" applyBorder="1" applyProtection="1">
      <protection locked="0"/>
    </xf>
    <xf numFmtId="2" fontId="8" fillId="5" borderId="18" xfId="0" applyNumberFormat="1" applyFont="1" applyFill="1" applyBorder="1" applyAlignment="1" applyProtection="1">
      <alignment horizontal="right" indent="1"/>
      <protection locked="0"/>
    </xf>
    <xf numFmtId="2" fontId="8" fillId="5" borderId="10" xfId="0" applyNumberFormat="1" applyFont="1" applyFill="1" applyBorder="1" applyAlignment="1" applyProtection="1">
      <alignment horizontal="right" indent="1"/>
      <protection locked="0"/>
    </xf>
    <xf numFmtId="2" fontId="8" fillId="5" borderId="0" xfId="0" applyNumberFormat="1" applyFont="1" applyFill="1" applyBorder="1" applyAlignment="1" applyProtection="1">
      <alignment horizontal="right" indent="1"/>
      <protection locked="0"/>
    </xf>
    <xf numFmtId="2" fontId="8" fillId="5" borderId="9" xfId="0" applyNumberFormat="1" applyFont="1" applyFill="1" applyBorder="1" applyAlignment="1" applyProtection="1">
      <alignment horizontal="right" indent="1"/>
      <protection locked="0"/>
    </xf>
    <xf numFmtId="2" fontId="8" fillId="5" borderId="6" xfId="0" applyNumberFormat="1" applyFont="1" applyFill="1" applyBorder="1" applyAlignment="1" applyProtection="1">
      <alignment horizontal="right" indent="1"/>
      <protection locked="0"/>
    </xf>
    <xf numFmtId="2" fontId="8" fillId="5" borderId="12" xfId="0" applyNumberFormat="1" applyFont="1" applyFill="1" applyBorder="1" applyAlignment="1" applyProtection="1">
      <alignment horizontal="right" indent="1"/>
      <protection locked="0"/>
    </xf>
    <xf numFmtId="2" fontId="8" fillId="5" borderId="11" xfId="0" applyNumberFormat="1" applyFont="1" applyFill="1" applyBorder="1" applyAlignment="1" applyProtection="1">
      <alignment horizontal="right" indent="1"/>
      <protection locked="0"/>
    </xf>
    <xf numFmtId="2" fontId="8" fillId="5" borderId="17" xfId="0" applyNumberFormat="1" applyFont="1" applyFill="1" applyBorder="1" applyAlignment="1" applyProtection="1">
      <alignment horizontal="right" indent="1"/>
      <protection locked="0"/>
    </xf>
    <xf numFmtId="2" fontId="8" fillId="5" borderId="7" xfId="0" applyNumberFormat="1" applyFont="1" applyFill="1" applyBorder="1" applyAlignment="1" applyProtection="1">
      <alignment horizontal="right" indent="1"/>
      <protection locked="0"/>
    </xf>
    <xf numFmtId="2" fontId="8" fillId="5" borderId="20" xfId="0" applyNumberFormat="1" applyFont="1" applyFill="1" applyBorder="1" applyAlignment="1" applyProtection="1">
      <alignment horizontal="right" indent="1"/>
      <protection locked="0"/>
    </xf>
    <xf numFmtId="2" fontId="8" fillId="5" borderId="13" xfId="0" applyNumberFormat="1" applyFont="1" applyFill="1" applyBorder="1" applyAlignment="1" applyProtection="1">
      <alignment horizontal="right" indent="1"/>
      <protection locked="0"/>
    </xf>
    <xf numFmtId="0" fontId="8" fillId="5" borderId="8" xfId="2" applyFont="1" applyFill="1" applyBorder="1" applyAlignment="1" applyProtection="1">
      <alignment horizontal="right"/>
      <protection locked="0"/>
    </xf>
    <xf numFmtId="0" fontId="59" fillId="5" borderId="8" xfId="2" applyFont="1" applyFill="1" applyBorder="1" applyAlignment="1" applyProtection="1">
      <alignment horizontal="right"/>
      <protection locked="0"/>
    </xf>
    <xf numFmtId="0" fontId="0" fillId="2" borderId="0" xfId="0" applyFill="1" applyProtection="1">
      <protection locked="0"/>
    </xf>
    <xf numFmtId="0" fontId="8" fillId="5" borderId="19" xfId="2" applyFont="1" applyFill="1" applyBorder="1" applyProtection="1">
      <protection locked="0"/>
    </xf>
    <xf numFmtId="0" fontId="8" fillId="5" borderId="17" xfId="2" applyFont="1" applyFill="1" applyBorder="1" applyProtection="1">
      <protection locked="0"/>
    </xf>
    <xf numFmtId="0" fontId="8" fillId="5" borderId="20" xfId="2" applyFont="1" applyFill="1" applyBorder="1" applyProtection="1">
      <protection locked="0"/>
    </xf>
    <xf numFmtId="169" fontId="8" fillId="5" borderId="14" xfId="5" applyNumberFormat="1" applyFont="1" applyFill="1" applyBorder="1" applyAlignment="1" applyProtection="1">
      <alignment horizontal="left" indent="2"/>
      <protection locked="0"/>
    </xf>
    <xf numFmtId="0" fontId="8" fillId="5" borderId="18" xfId="2" applyFont="1" applyFill="1" applyBorder="1" applyAlignment="1" applyProtection="1">
      <alignment horizontal="center"/>
      <protection locked="0"/>
    </xf>
    <xf numFmtId="0" fontId="8" fillId="5" borderId="0" xfId="2" applyFont="1" applyFill="1" applyBorder="1" applyAlignment="1" applyProtection="1">
      <alignment horizontal="center"/>
      <protection locked="0"/>
    </xf>
    <xf numFmtId="0" fontId="8" fillId="5" borderId="6" xfId="2" applyFont="1" applyFill="1" applyBorder="1" applyAlignment="1" applyProtection="1">
      <alignment horizontal="center"/>
      <protection locked="0"/>
    </xf>
    <xf numFmtId="14" fontId="8" fillId="5" borderId="6" xfId="2" applyNumberFormat="1" applyFont="1" applyFill="1" applyBorder="1" applyProtection="1">
      <protection locked="0"/>
    </xf>
    <xf numFmtId="0" fontId="13" fillId="4" borderId="0" xfId="2" applyFont="1" applyFill="1" applyBorder="1"/>
    <xf numFmtId="0" fontId="8" fillId="4" borderId="0" xfId="2" applyFont="1" applyFill="1" applyBorder="1"/>
    <xf numFmtId="0" fontId="42" fillId="4" borderId="0" xfId="2" applyFont="1" applyFill="1" applyBorder="1" applyAlignment="1">
      <alignment horizontal="left"/>
    </xf>
    <xf numFmtId="0" fontId="16" fillId="4" borderId="0" xfId="2" applyFont="1" applyFill="1" applyBorder="1" applyAlignment="1">
      <alignment horizontal="center"/>
    </xf>
    <xf numFmtId="0" fontId="13" fillId="4" borderId="0" xfId="2" applyNumberFormat="1" applyFont="1" applyFill="1" applyBorder="1"/>
    <xf numFmtId="169" fontId="0" fillId="0" borderId="19" xfId="5" applyNumberFormat="1" applyFont="1" applyBorder="1"/>
    <xf numFmtId="169" fontId="0" fillId="0" borderId="18" xfId="5" applyNumberFormat="1" applyFont="1" applyBorder="1"/>
    <xf numFmtId="169" fontId="0" fillId="0" borderId="11" xfId="5" applyNumberFormat="1" applyFont="1" applyBorder="1"/>
    <xf numFmtId="169" fontId="0" fillId="0" borderId="17" xfId="5" applyNumberFormat="1" applyFont="1" applyBorder="1"/>
    <xf numFmtId="169" fontId="0" fillId="0" borderId="0" xfId="5" applyNumberFormat="1" applyFont="1" applyBorder="1"/>
    <xf numFmtId="169" fontId="0" fillId="0" borderId="7" xfId="5" applyNumberFormat="1" applyFont="1" applyBorder="1"/>
    <xf numFmtId="169" fontId="0" fillId="0" borderId="20" xfId="5" applyNumberFormat="1" applyFont="1" applyBorder="1"/>
    <xf numFmtId="169" fontId="0" fillId="0" borderId="6" xfId="5" applyNumberFormat="1" applyFont="1" applyBorder="1"/>
    <xf numFmtId="169" fontId="0" fillId="0" borderId="13" xfId="5" applyNumberFormat="1" applyFont="1" applyBorder="1"/>
    <xf numFmtId="0" fontId="2" fillId="0" borderId="0" xfId="0" applyFont="1" applyAlignment="1">
      <alignment horizontal="center"/>
    </xf>
    <xf numFmtId="169" fontId="0" fillId="4" borderId="19" xfId="5" applyNumberFormat="1" applyFont="1" applyFill="1" applyBorder="1" applyAlignment="1">
      <alignment horizontal="right" indent="2"/>
    </xf>
    <xf numFmtId="169" fontId="0" fillId="4" borderId="17" xfId="5" applyNumberFormat="1" applyFont="1" applyFill="1" applyBorder="1" applyAlignment="1">
      <alignment horizontal="right" indent="2"/>
    </xf>
    <xf numFmtId="169" fontId="0" fillId="4" borderId="17" xfId="0" applyNumberFormat="1" applyFill="1" applyBorder="1" applyAlignment="1">
      <alignment horizontal="right" indent="2"/>
    </xf>
    <xf numFmtId="169" fontId="0" fillId="4" borderId="20" xfId="0" applyNumberFormat="1" applyFill="1" applyBorder="1" applyAlignment="1">
      <alignment horizontal="right" indent="2"/>
    </xf>
    <xf numFmtId="0" fontId="3" fillId="10" borderId="18" xfId="0" applyFont="1" applyFill="1" applyBorder="1" applyAlignment="1" applyProtection="1">
      <alignment horizontal="right" indent="2"/>
      <protection locked="0"/>
    </xf>
    <xf numFmtId="0" fontId="31" fillId="0" borderId="0" xfId="11" applyAlignment="1">
      <alignment vertical="center"/>
    </xf>
    <xf numFmtId="0" fontId="31" fillId="8" borderId="0" xfId="11" applyFill="1" applyBorder="1" applyProtection="1">
      <protection locked="0"/>
    </xf>
    <xf numFmtId="0" fontId="63" fillId="0" borderId="0" xfId="0" applyFont="1" applyFill="1" applyBorder="1"/>
    <xf numFmtId="0" fontId="64" fillId="0" borderId="0" xfId="2" quotePrefix="1" applyFont="1" applyFill="1" applyBorder="1"/>
    <xf numFmtId="0" fontId="7" fillId="0" borderId="0" xfId="0" applyFont="1" applyFill="1" applyBorder="1"/>
    <xf numFmtId="0" fontId="15" fillId="4" borderId="0" xfId="7" applyFont="1" applyFill="1" applyBorder="1" applyAlignment="1">
      <alignment horizontal="center"/>
    </xf>
    <xf numFmtId="0" fontId="5" fillId="0" borderId="0" xfId="2" applyFont="1" applyFill="1" applyBorder="1" applyAlignment="1">
      <alignment horizontal="center"/>
    </xf>
    <xf numFmtId="9" fontId="5" fillId="0" borderId="0" xfId="3" applyNumberFormat="1" applyFont="1" applyFill="1" applyBorder="1" applyAlignment="1">
      <alignment horizontal="right"/>
    </xf>
    <xf numFmtId="0" fontId="5" fillId="0" borderId="0" xfId="2" applyFont="1" applyFill="1" applyBorder="1" applyAlignment="1">
      <alignment horizontal="center" wrapText="1"/>
    </xf>
    <xf numFmtId="10" fontId="5" fillId="0" borderId="0" xfId="4" applyNumberFormat="1" applyFont="1" applyFill="1" applyBorder="1"/>
    <xf numFmtId="43" fontId="3" fillId="0" borderId="0" xfId="1" applyFont="1" applyFill="1" applyBorder="1"/>
    <xf numFmtId="0" fontId="3" fillId="0" borderId="0" xfId="0" applyFont="1" applyFill="1" applyBorder="1" applyAlignment="1">
      <alignment horizontal="left"/>
    </xf>
    <xf numFmtId="0" fontId="5" fillId="0" borderId="0" xfId="0" applyFont="1" applyFill="1" applyBorder="1"/>
    <xf numFmtId="0" fontId="3" fillId="0" borderId="0" xfId="0" applyFont="1" applyFill="1" applyBorder="1"/>
    <xf numFmtId="0" fontId="30" fillId="0" borderId="0" xfId="0" applyFont="1" applyFill="1" applyBorder="1" applyAlignment="1">
      <alignment horizontal="left" indent="25"/>
    </xf>
    <xf numFmtId="170" fontId="3" fillId="0" borderId="0" xfId="0" applyNumberFormat="1" applyFont="1" applyFill="1" applyBorder="1" applyAlignment="1">
      <alignment horizontal="right" indent="7"/>
    </xf>
    <xf numFmtId="170" fontId="3" fillId="0" borderId="0" xfId="0" applyNumberFormat="1" applyFont="1" applyFill="1" applyBorder="1" applyAlignment="1">
      <alignment horizontal="right" indent="4"/>
    </xf>
    <xf numFmtId="170" fontId="3" fillId="0" borderId="0" xfId="0" applyNumberFormat="1" applyFont="1" applyFill="1" applyBorder="1" applyAlignment="1">
      <alignment horizontal="right" indent="8"/>
    </xf>
    <xf numFmtId="0" fontId="3" fillId="0" borderId="0" xfId="0" applyFont="1" applyFill="1" applyBorder="1" applyAlignment="1">
      <alignment horizontal="right" indent="7"/>
    </xf>
    <xf numFmtId="169" fontId="3" fillId="0" borderId="0" xfId="5" applyNumberFormat="1" applyFont="1" applyFill="1" applyBorder="1"/>
    <xf numFmtId="9" fontId="3" fillId="0" borderId="0" xfId="5" applyFont="1" applyFill="1" applyBorder="1"/>
    <xf numFmtId="10" fontId="3" fillId="0" borderId="0" xfId="0" applyNumberFormat="1" applyFont="1" applyFill="1" applyBorder="1"/>
    <xf numFmtId="0" fontId="3" fillId="0" borderId="0" xfId="0" applyFont="1" applyFill="1" applyBorder="1" applyAlignment="1">
      <alignment vertical="center"/>
    </xf>
    <xf numFmtId="0" fontId="23" fillId="4" borderId="0" xfId="7" applyFont="1" applyFill="1" applyBorder="1" applyProtection="1">
      <protection locked="0"/>
    </xf>
    <xf numFmtId="0" fontId="24" fillId="4" borderId="0" xfId="7" applyFont="1" applyFill="1" applyBorder="1" applyAlignment="1" applyProtection="1">
      <alignment horizontal="left"/>
      <protection locked="0"/>
    </xf>
    <xf numFmtId="0" fontId="24" fillId="4" borderId="0" xfId="7" applyFont="1" applyFill="1" applyBorder="1" applyProtection="1">
      <protection locked="0"/>
    </xf>
    <xf numFmtId="172" fontId="24" fillId="4" borderId="0" xfId="8" applyNumberFormat="1" applyFont="1" applyFill="1" applyBorder="1" applyAlignment="1" applyProtection="1">
      <alignment horizontal="right"/>
      <protection locked="0"/>
    </xf>
    <xf numFmtId="0" fontId="10" fillId="4" borderId="0" xfId="7" applyFill="1" applyProtection="1">
      <protection locked="0"/>
    </xf>
    <xf numFmtId="0" fontId="23" fillId="4" borderId="0" xfId="7" quotePrefix="1" applyFont="1" applyFill="1" applyBorder="1" applyAlignment="1" applyProtection="1">
      <protection locked="0"/>
    </xf>
    <xf numFmtId="0" fontId="33" fillId="4" borderId="0" xfId="7" quotePrefix="1" applyFont="1" applyFill="1" applyBorder="1" applyAlignment="1" applyProtection="1">
      <alignment horizontal="left" indent="2"/>
      <protection locked="0"/>
    </xf>
    <xf numFmtId="173" fontId="24" fillId="4" borderId="0" xfId="7" applyNumberFormat="1" applyFont="1" applyFill="1" applyBorder="1" applyProtection="1">
      <protection locked="0"/>
    </xf>
    <xf numFmtId="9" fontId="33" fillId="4" borderId="0" xfId="7" applyNumberFormat="1" applyFont="1" applyFill="1" applyBorder="1" applyAlignment="1" applyProtection="1">
      <alignment horizontal="left" indent="2"/>
      <protection locked="0"/>
    </xf>
    <xf numFmtId="0" fontId="33" fillId="4" borderId="0" xfId="7" applyFont="1" applyFill="1" applyBorder="1" applyAlignment="1" applyProtection="1">
      <alignment horizontal="left" indent="2"/>
      <protection locked="0"/>
    </xf>
    <xf numFmtId="0" fontId="24" fillId="4" borderId="0" xfId="7" applyFont="1" applyFill="1" applyBorder="1" applyAlignment="1" applyProtection="1">
      <alignment horizontal="left" vertical="top"/>
      <protection locked="0"/>
    </xf>
    <xf numFmtId="0" fontId="10" fillId="4" borderId="0" xfId="7" applyFont="1" applyFill="1" applyProtection="1">
      <protection locked="0"/>
    </xf>
    <xf numFmtId="0" fontId="10" fillId="4" borderId="0" xfId="7" applyFont="1" applyFill="1" applyAlignment="1" applyProtection="1">
      <alignment vertical="top" wrapText="1"/>
      <protection locked="0"/>
    </xf>
    <xf numFmtId="0" fontId="17" fillId="4" borderId="0" xfId="7" applyFont="1" applyFill="1" applyBorder="1" applyAlignment="1" applyProtection="1">
      <alignment horizontal="left"/>
      <protection locked="0"/>
    </xf>
    <xf numFmtId="0" fontId="17" fillId="4" borderId="0" xfId="7" applyFont="1" applyFill="1" applyBorder="1" applyAlignment="1" applyProtection="1">
      <alignment horizontal="centerContinuous"/>
      <protection locked="0"/>
    </xf>
    <xf numFmtId="0" fontId="21" fillId="4" borderId="0" xfId="7" applyFont="1" applyFill="1" applyBorder="1" applyAlignment="1" applyProtection="1">
      <alignment horizontal="centerContinuous"/>
      <protection locked="0"/>
    </xf>
    <xf numFmtId="0" fontId="22" fillId="4" borderId="0" xfId="7" applyFont="1" applyFill="1" applyBorder="1" applyAlignment="1" applyProtection="1">
      <alignment horizontal="centerContinuous"/>
      <protection locked="0"/>
    </xf>
    <xf numFmtId="0" fontId="16" fillId="4" borderId="0" xfId="7" applyFont="1" applyFill="1" applyBorder="1" applyAlignment="1" applyProtection="1">
      <alignment horizontal="centerContinuous"/>
      <protection locked="0"/>
    </xf>
    <xf numFmtId="0" fontId="12" fillId="4" borderId="0" xfId="7" applyFont="1" applyFill="1" applyBorder="1" applyAlignment="1" applyProtection="1">
      <alignment horizontal="centerContinuous"/>
      <protection locked="0"/>
    </xf>
    <xf numFmtId="0" fontId="45" fillId="7" borderId="19" xfId="7" applyFont="1" applyFill="1" applyBorder="1" applyAlignment="1" applyProtection="1">
      <alignment horizontal="center"/>
    </xf>
    <xf numFmtId="0" fontId="45" fillId="7" borderId="18" xfId="7" applyFont="1" applyFill="1" applyBorder="1" applyAlignment="1" applyProtection="1">
      <alignment horizontal="center"/>
    </xf>
    <xf numFmtId="0" fontId="45" fillId="7" borderId="11" xfId="7" applyFont="1" applyFill="1" applyBorder="1" applyAlignment="1" applyProtection="1">
      <alignment horizontal="center"/>
    </xf>
    <xf numFmtId="0" fontId="45" fillId="7" borderId="10" xfId="7" applyFont="1" applyFill="1" applyBorder="1" applyAlignment="1" applyProtection="1">
      <alignment horizontal="center"/>
    </xf>
    <xf numFmtId="0" fontId="45" fillId="7" borderId="20" xfId="7" applyFont="1" applyFill="1" applyBorder="1" applyAlignment="1" applyProtection="1">
      <alignment horizontal="center"/>
    </xf>
    <xf numFmtId="0" fontId="45" fillId="7" borderId="6" xfId="7" applyFont="1" applyFill="1" applyBorder="1" applyAlignment="1" applyProtection="1">
      <alignment horizontal="left"/>
    </xf>
    <xf numFmtId="0" fontId="45" fillId="7" borderId="6" xfId="7" applyFont="1" applyFill="1" applyBorder="1" applyAlignment="1" applyProtection="1">
      <alignment horizontal="center"/>
    </xf>
    <xf numFmtId="0" fontId="45" fillId="7" borderId="13" xfId="7" applyFont="1" applyFill="1" applyBorder="1" applyAlignment="1" applyProtection="1">
      <alignment horizontal="center"/>
    </xf>
    <xf numFmtId="0" fontId="45" fillId="7" borderId="12" xfId="7" applyFont="1" applyFill="1" applyBorder="1" applyAlignment="1" applyProtection="1">
      <alignment horizontal="center"/>
    </xf>
    <xf numFmtId="9" fontId="44" fillId="4" borderId="17" xfId="5" applyFont="1" applyFill="1" applyBorder="1" applyAlignment="1" applyProtection="1">
      <alignment horizontal="left" indent="2"/>
    </xf>
    <xf numFmtId="0" fontId="44" fillId="4" borderId="0" xfId="7" quotePrefix="1" applyFont="1" applyFill="1" applyBorder="1" applyProtection="1"/>
    <xf numFmtId="0" fontId="44" fillId="4" borderId="0" xfId="7" quotePrefix="1" applyFont="1" applyFill="1" applyBorder="1" applyAlignment="1" applyProtection="1">
      <alignment horizontal="center"/>
    </xf>
    <xf numFmtId="169" fontId="44" fillId="4" borderId="7" xfId="5" applyNumberFormat="1" applyFont="1" applyFill="1" applyBorder="1" applyAlignment="1" applyProtection="1">
      <alignment horizontal="center"/>
    </xf>
    <xf numFmtId="169" fontId="44" fillId="4" borderId="17" xfId="7" applyNumberFormat="1" applyFont="1" applyFill="1" applyBorder="1" applyAlignment="1" applyProtection="1">
      <alignment horizontal="center"/>
    </xf>
    <xf numFmtId="169" fontId="44" fillId="4" borderId="7" xfId="7" applyNumberFormat="1" applyFont="1" applyFill="1" applyBorder="1" applyAlignment="1" applyProtection="1">
      <alignment horizontal="center"/>
    </xf>
    <xf numFmtId="169" fontId="44" fillId="4" borderId="9" xfId="7" applyNumberFormat="1" applyFont="1" applyFill="1" applyBorder="1" applyAlignment="1" applyProtection="1">
      <alignment horizontal="center"/>
    </xf>
    <xf numFmtId="169" fontId="44" fillId="4" borderId="17" xfId="5" applyNumberFormat="1" applyFont="1" applyFill="1" applyBorder="1" applyAlignment="1" applyProtection="1">
      <alignment horizontal="center"/>
    </xf>
    <xf numFmtId="169" fontId="44" fillId="4" borderId="9" xfId="5" applyNumberFormat="1" applyFont="1" applyFill="1" applyBorder="1" applyAlignment="1" applyProtection="1">
      <alignment horizontal="center"/>
    </xf>
    <xf numFmtId="0" fontId="44" fillId="4" borderId="0" xfId="7" applyFont="1" applyFill="1" applyBorder="1" applyProtection="1"/>
    <xf numFmtId="0" fontId="44" fillId="4" borderId="0" xfId="7" applyFont="1" applyFill="1" applyBorder="1" applyAlignment="1" applyProtection="1">
      <alignment horizontal="center"/>
    </xf>
    <xf numFmtId="169" fontId="44" fillId="4" borderId="20" xfId="5" applyNumberFormat="1" applyFont="1" applyFill="1" applyBorder="1" applyAlignment="1" applyProtection="1">
      <alignment horizontal="center"/>
    </xf>
    <xf numFmtId="9" fontId="44" fillId="4" borderId="14" xfId="7" applyNumberFormat="1" applyFont="1" applyFill="1" applyBorder="1" applyAlignment="1" applyProtection="1">
      <alignment horizontal="left" indent="2"/>
    </xf>
    <xf numFmtId="0" fontId="45" fillId="7" borderId="15" xfId="7" applyFont="1" applyFill="1" applyBorder="1" applyAlignment="1" applyProtection="1"/>
    <xf numFmtId="0" fontId="44" fillId="7" borderId="15" xfId="7" applyFont="1" applyFill="1" applyBorder="1" applyProtection="1"/>
    <xf numFmtId="0" fontId="44" fillId="7" borderId="16" xfId="7" applyFont="1" applyFill="1" applyBorder="1" applyProtection="1"/>
    <xf numFmtId="169" fontId="44" fillId="4" borderId="14" xfId="7" applyNumberFormat="1" applyFont="1" applyFill="1" applyBorder="1" applyAlignment="1" applyProtection="1">
      <alignment horizontal="left" indent="2"/>
    </xf>
    <xf numFmtId="0" fontId="45" fillId="7" borderId="15" xfId="7" applyFont="1" applyFill="1" applyBorder="1" applyProtection="1"/>
    <xf numFmtId="0" fontId="44" fillId="4" borderId="17" xfId="7" applyFont="1" applyFill="1" applyBorder="1" applyAlignment="1" applyProtection="1">
      <alignment horizontal="center"/>
    </xf>
    <xf numFmtId="0" fontId="44" fillId="4" borderId="0" xfId="7" applyFont="1" applyFill="1" applyBorder="1" applyAlignment="1" applyProtection="1">
      <alignment horizontal="left"/>
    </xf>
    <xf numFmtId="169" fontId="44" fillId="4" borderId="0" xfId="5" applyNumberFormat="1" applyFont="1" applyFill="1" applyBorder="1" applyAlignment="1" applyProtection="1">
      <alignment horizontal="center"/>
    </xf>
    <xf numFmtId="0" fontId="23" fillId="4" borderId="0" xfId="7" applyFont="1" applyFill="1" applyBorder="1" applyProtection="1"/>
    <xf numFmtId="0" fontId="23" fillId="4" borderId="0" xfId="7" quotePrefix="1" applyFont="1" applyFill="1" applyBorder="1" applyAlignment="1" applyProtection="1"/>
    <xf numFmtId="0" fontId="17" fillId="4" borderId="0" xfId="7" applyFont="1" applyFill="1" applyBorder="1" applyProtection="1"/>
    <xf numFmtId="0" fontId="10" fillId="4" borderId="0" xfId="7" applyFont="1" applyFill="1" applyProtection="1"/>
    <xf numFmtId="169" fontId="10" fillId="4" borderId="0" xfId="7" applyNumberFormat="1" applyFont="1" applyFill="1" applyBorder="1" applyProtection="1"/>
    <xf numFmtId="169" fontId="10" fillId="4" borderId="0" xfId="7" applyNumberFormat="1" applyFont="1" applyFill="1" applyBorder="1" applyAlignment="1" applyProtection="1">
      <alignment horizontal="left"/>
    </xf>
    <xf numFmtId="0" fontId="17" fillId="4" borderId="0" xfId="7" applyFont="1" applyFill="1" applyBorder="1" applyAlignment="1" applyProtection="1">
      <alignment horizontal="left" indent="1"/>
    </xf>
    <xf numFmtId="0" fontId="17" fillId="4" borderId="0" xfId="7" applyFont="1" applyFill="1" applyBorder="1" applyAlignment="1" applyProtection="1">
      <alignment horizontal="right"/>
    </xf>
    <xf numFmtId="169" fontId="10" fillId="4" borderId="0" xfId="5" applyNumberFormat="1" applyFont="1" applyFill="1" applyBorder="1" applyAlignment="1" applyProtection="1">
      <alignment horizontal="right"/>
    </xf>
    <xf numFmtId="0" fontId="13" fillId="4" borderId="0" xfId="7" applyFont="1" applyFill="1" applyBorder="1" applyProtection="1"/>
    <xf numFmtId="0" fontId="10" fillId="0" borderId="0" xfId="7" applyProtection="1"/>
    <xf numFmtId="2" fontId="10" fillId="4" borderId="0" xfId="7" applyNumberFormat="1" applyFont="1" applyFill="1" applyProtection="1"/>
    <xf numFmtId="0" fontId="17" fillId="0" borderId="0" xfId="7" quotePrefix="1" applyFont="1" applyProtection="1"/>
    <xf numFmtId="169" fontId="10" fillId="0" borderId="0" xfId="7" applyNumberFormat="1" applyProtection="1"/>
    <xf numFmtId="0" fontId="17" fillId="4" borderId="0" xfId="7" applyFont="1" applyFill="1" applyAlignment="1" applyProtection="1">
      <alignment horizontal="left" indent="1"/>
    </xf>
    <xf numFmtId="0" fontId="21" fillId="10" borderId="19" xfId="7" applyFont="1" applyFill="1" applyBorder="1" applyAlignment="1" applyProtection="1">
      <alignment horizontal="centerContinuous"/>
    </xf>
    <xf numFmtId="0" fontId="22" fillId="10" borderId="18" xfId="7" applyFont="1" applyFill="1" applyBorder="1" applyAlignment="1" applyProtection="1">
      <alignment horizontal="centerContinuous"/>
    </xf>
    <xf numFmtId="0" fontId="22" fillId="10" borderId="11" xfId="7" applyFont="1" applyFill="1" applyBorder="1" applyAlignment="1" applyProtection="1">
      <alignment horizontal="centerContinuous"/>
    </xf>
    <xf numFmtId="0" fontId="10" fillId="4" borderId="14" xfId="7" applyFont="1" applyFill="1" applyBorder="1" applyAlignment="1" applyProtection="1">
      <alignment horizontal="center"/>
    </xf>
    <xf numFmtId="0" fontId="10" fillId="4" borderId="15" xfId="7" applyFont="1" applyFill="1" applyBorder="1" applyAlignment="1" applyProtection="1">
      <alignment horizontal="left"/>
    </xf>
    <xf numFmtId="169" fontId="10" fillId="4" borderId="14" xfId="5" applyNumberFormat="1" applyFont="1" applyFill="1" applyBorder="1" applyAlignment="1" applyProtection="1">
      <alignment horizontal="center"/>
    </xf>
    <xf numFmtId="0" fontId="17" fillId="7" borderId="15" xfId="7" applyFont="1" applyFill="1" applyBorder="1" applyProtection="1"/>
    <xf numFmtId="0" fontId="10" fillId="7" borderId="15" xfId="7" applyFill="1" applyBorder="1" applyProtection="1"/>
    <xf numFmtId="0" fontId="10" fillId="7" borderId="16" xfId="7" applyFill="1" applyBorder="1" applyProtection="1"/>
    <xf numFmtId="0" fontId="19" fillId="10" borderId="19" xfId="7" applyFont="1" applyFill="1" applyBorder="1" applyAlignment="1" applyProtection="1">
      <alignment horizontal="centerContinuous" vertical="center"/>
    </xf>
    <xf numFmtId="0" fontId="16" fillId="10" borderId="0" xfId="7" applyFont="1" applyFill="1" applyBorder="1" applyAlignment="1" applyProtection="1">
      <alignment horizontal="centerContinuous"/>
    </xf>
    <xf numFmtId="177" fontId="8" fillId="5" borderId="10" xfId="0" applyNumberFormat="1" applyFont="1" applyFill="1" applyBorder="1" applyProtection="1">
      <protection locked="0"/>
    </xf>
    <xf numFmtId="177" fontId="0" fillId="4" borderId="15" xfId="0" applyNumberFormat="1" applyFill="1" applyBorder="1"/>
    <xf numFmtId="177" fontId="0" fillId="4" borderId="16" xfId="0" applyNumberFormat="1" applyFill="1" applyBorder="1"/>
    <xf numFmtId="177" fontId="0" fillId="0" borderId="18" xfId="2" applyNumberFormat="1" applyFont="1" applyFill="1" applyBorder="1"/>
    <xf numFmtId="169" fontId="8" fillId="44" borderId="17" xfId="0" applyNumberFormat="1" applyFont="1" applyFill="1" applyBorder="1" applyAlignment="1" applyProtection="1">
      <alignment horizontal="right" indent="2"/>
      <protection locked="0"/>
    </xf>
    <xf numFmtId="177" fontId="8" fillId="5" borderId="18" xfId="2" applyNumberFormat="1" applyFont="1" applyFill="1" applyBorder="1" applyProtection="1">
      <protection locked="0"/>
    </xf>
    <xf numFmtId="177" fontId="1" fillId="0" borderId="18" xfId="2" applyNumberFormat="1" applyFont="1" applyFill="1" applyBorder="1"/>
    <xf numFmtId="0" fontId="3" fillId="6" borderId="0" xfId="0" applyFont="1" applyFill="1" applyBorder="1" applyAlignment="1">
      <alignment textRotation="90"/>
    </xf>
    <xf numFmtId="0" fontId="3" fillId="6" borderId="0" xfId="0" applyFont="1" applyFill="1" applyAlignment="1">
      <alignment textRotation="90"/>
    </xf>
    <xf numFmtId="0" fontId="23" fillId="4" borderId="0" xfId="7" applyFont="1" applyFill="1" applyBorder="1" applyAlignment="1" applyProtection="1">
      <alignment horizontal="center" vertical="top" wrapText="1"/>
    </xf>
    <xf numFmtId="0" fontId="23" fillId="4" borderId="0" xfId="7" applyFont="1" applyFill="1" applyBorder="1" applyAlignment="1" applyProtection="1">
      <alignment horizontal="center"/>
    </xf>
    <xf numFmtId="0" fontId="21" fillId="10" borderId="0" xfId="7" applyFont="1" applyFill="1" applyBorder="1" applyAlignment="1" applyProtection="1">
      <alignment horizontal="center"/>
    </xf>
    <xf numFmtId="0" fontId="21" fillId="10" borderId="0" xfId="7" applyFont="1" applyFill="1" applyBorder="1" applyAlignment="1">
      <alignment horizontal="center"/>
    </xf>
    <xf numFmtId="0" fontId="21" fillId="10" borderId="0" xfId="7" applyFont="1" applyFill="1" applyBorder="1" applyAlignment="1" applyProtection="1">
      <alignment horizontal="center"/>
      <protection locked="0"/>
    </xf>
    <xf numFmtId="0" fontId="15" fillId="4" borderId="0" xfId="7" applyFont="1" applyFill="1" applyBorder="1" applyAlignment="1">
      <alignment horizontal="center"/>
    </xf>
    <xf numFmtId="0" fontId="21" fillId="10" borderId="17" xfId="7" applyFont="1" applyFill="1" applyBorder="1" applyAlignment="1" applyProtection="1">
      <alignment horizontal="center"/>
    </xf>
    <xf numFmtId="0" fontId="21" fillId="10" borderId="7" xfId="7" applyFont="1" applyFill="1" applyBorder="1" applyAlignment="1" applyProtection="1">
      <alignment horizontal="center"/>
    </xf>
    <xf numFmtId="0" fontId="15" fillId="4" borderId="6" xfId="7" applyFont="1" applyFill="1" applyBorder="1" applyAlignment="1">
      <alignment horizontal="center"/>
    </xf>
    <xf numFmtId="0" fontId="5" fillId="10" borderId="19" xfId="0" applyFont="1" applyFill="1" applyBorder="1" applyAlignment="1">
      <alignment horizontal="center"/>
    </xf>
    <xf numFmtId="0" fontId="5" fillId="10" borderId="11" xfId="0" applyFont="1" applyFill="1" applyBorder="1" applyAlignment="1">
      <alignment horizontal="center"/>
    </xf>
    <xf numFmtId="2" fontId="8" fillId="44" borderId="0" xfId="0" applyNumberFormat="1" applyFont="1" applyFill="1" applyAlignment="1" applyProtection="1">
      <alignment horizontal="right" indent="1"/>
      <protection locked="0"/>
    </xf>
  </cellXfs>
  <cellStyles count="53">
    <cellStyle name="20% - Accent1" xfId="30" builtinId="30" customBuiltin="1"/>
    <cellStyle name="20% - Accent2" xfId="34" builtinId="34" customBuiltin="1"/>
    <cellStyle name="20% - Accent3" xfId="38" builtinId="38" customBuiltin="1"/>
    <cellStyle name="20% - Accent4" xfId="42" builtinId="42" customBuiltin="1"/>
    <cellStyle name="20% - Accent5" xfId="46" builtinId="46" customBuiltin="1"/>
    <cellStyle name="20% - Accent6" xfId="50" builtinId="50" customBuiltin="1"/>
    <cellStyle name="40% - Accent1" xfId="31" builtinId="31" customBuiltin="1"/>
    <cellStyle name="40% - Accent2" xfId="35" builtinId="35" customBuiltin="1"/>
    <cellStyle name="40% - Accent3" xfId="39" builtinId="39" customBuiltin="1"/>
    <cellStyle name="40% - Accent4" xfId="43" builtinId="43" customBuiltin="1"/>
    <cellStyle name="40% - Accent5" xfId="47" builtinId="47" customBuiltin="1"/>
    <cellStyle name="40% - Accent6" xfId="51" builtinId="51" customBuiltin="1"/>
    <cellStyle name="60% - Accent1" xfId="32" builtinId="32" customBuiltin="1"/>
    <cellStyle name="60% - Accent2" xfId="36" builtinId="36" customBuiltin="1"/>
    <cellStyle name="60% - Accent3" xfId="40" builtinId="40" customBuiltin="1"/>
    <cellStyle name="60% - Accent4" xfId="44" builtinId="44" customBuiltin="1"/>
    <cellStyle name="60% - Accent5" xfId="48" builtinId="48" customBuiltin="1"/>
    <cellStyle name="60% - Accent6" xfId="52" builtinId="52" customBuiltin="1"/>
    <cellStyle name="Accent1" xfId="29" builtinId="29" customBuiltin="1"/>
    <cellStyle name="Accent2" xfId="33" builtinId="33" customBuiltin="1"/>
    <cellStyle name="Accent3" xfId="37" builtinId="37" customBuiltin="1"/>
    <cellStyle name="Accent4" xfId="41" builtinId="41" customBuiltin="1"/>
    <cellStyle name="Accent5" xfId="45" builtinId="45" customBuiltin="1"/>
    <cellStyle name="Accent6" xfId="49" builtinId="49" customBuiltin="1"/>
    <cellStyle name="Bad" xfId="18" builtinId="27" customBuiltin="1"/>
    <cellStyle name="Calculation" xfId="22" builtinId="22" customBuiltin="1"/>
    <cellStyle name="Check Cell" xfId="24" builtinId="23" customBuiltin="1"/>
    <cellStyle name="Comma" xfId="1" builtinId="3"/>
    <cellStyle name="Comma 2" xfId="8" xr:uid="{00000000-0005-0000-0000-00001C000000}"/>
    <cellStyle name="Currency" xfId="6" builtinId="4"/>
    <cellStyle name="Currency 2" xfId="3" xr:uid="{00000000-0005-0000-0000-00001E000000}"/>
    <cellStyle name="Explanatory Text" xfId="27" builtinId="53" customBuiltin="1"/>
    <cellStyle name="Good" xfId="17" builtinId="26" customBuiltin="1"/>
    <cellStyle name="Heading 1" xfId="13" builtinId="16" customBuiltin="1"/>
    <cellStyle name="Heading 2" xfId="14" builtinId="17" customBuiltin="1"/>
    <cellStyle name="Heading 3" xfId="15" builtinId="18" customBuiltin="1"/>
    <cellStyle name="Heading 4" xfId="16" builtinId="19" customBuiltin="1"/>
    <cellStyle name="Hyperlink" xfId="11" builtinId="8"/>
    <cellStyle name="Input" xfId="20" builtinId="20" customBuiltin="1"/>
    <cellStyle name="Linked Cell" xfId="23" builtinId="24" customBuiltin="1"/>
    <cellStyle name="Neutral" xfId="19" builtinId="28" customBuiltin="1"/>
    <cellStyle name="Normal" xfId="0" builtinId="0"/>
    <cellStyle name="Normal 2" xfId="10" xr:uid="{00000000-0005-0000-0000-00002A000000}"/>
    <cellStyle name="Normal 4" xfId="2" xr:uid="{00000000-0005-0000-0000-00002B000000}"/>
    <cellStyle name="Normal 6" xfId="7" xr:uid="{00000000-0005-0000-0000-00002C000000}"/>
    <cellStyle name="Note" xfId="26" builtinId="10" customBuiltin="1"/>
    <cellStyle name="Output" xfId="21" builtinId="21" customBuiltin="1"/>
    <cellStyle name="Per cent" xfId="5" builtinId="5"/>
    <cellStyle name="Percent 2" xfId="4" xr:uid="{00000000-0005-0000-0000-000030000000}"/>
    <cellStyle name="Percent 3" xfId="9" xr:uid="{00000000-0005-0000-0000-000031000000}"/>
    <cellStyle name="Title" xfId="12" builtinId="15" customBuiltin="1"/>
    <cellStyle name="Total" xfId="28" builtinId="25" customBuiltin="1"/>
    <cellStyle name="Warning Text" xfId="25" builtinId="11" customBuiltin="1"/>
  </cellStyles>
  <dxfs count="6">
    <dxf>
      <font>
        <color rgb="FFFF0000"/>
      </font>
    </dxf>
    <dxf>
      <font>
        <color rgb="FF00B050"/>
      </font>
    </dxf>
    <dxf>
      <font>
        <color rgb="FFFF0000"/>
      </font>
    </dxf>
    <dxf>
      <font>
        <color rgb="FF00B050"/>
      </font>
    </dxf>
    <dxf>
      <font>
        <color rgb="FFFF0000"/>
      </font>
    </dxf>
    <dxf>
      <font>
        <color rgb="FF00B050"/>
      </font>
    </dxf>
  </dxfs>
  <tableStyles count="0" defaultTableStyle="TableStyleMedium2" defaultPivotStyle="PivotStyleLight16"/>
  <colors>
    <mruColors>
      <color rgb="FFFFFFCC"/>
      <color rgb="FFFFCC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Returns of Current Portfolio vs. Policy Portfolio</a:t>
            </a:r>
          </a:p>
        </c:rich>
      </c:tx>
      <c:layout>
        <c:manualLayout>
          <c:xMode val="edge"/>
          <c:yMode val="edge"/>
          <c:x val="0.30376744573594971"/>
          <c:y val="7.227825421079839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74329785023208"/>
          <c:y val="0.17390625000000001"/>
          <c:w val="0.8134239268478537"/>
          <c:h val="0.609591127698633"/>
        </c:manualLayout>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Calculations!$E$74:$E$79</c:f>
              <c:numCache>
                <c:formatCode>0.0%</c:formatCode>
                <c:ptCount val="6"/>
                <c:pt idx="0">
                  <c:v>0</c:v>
                </c:pt>
                <c:pt idx="1">
                  <c:v>1.7370350000000201E-2</c:v>
                </c:pt>
                <c:pt idx="2">
                  <c:v>1.7348889999999839E-2</c:v>
                </c:pt>
                <c:pt idx="3">
                  <c:v>1.593700000000009E-2</c:v>
                </c:pt>
                <c:pt idx="4">
                  <c:v>1.8549530000000036E-2</c:v>
                </c:pt>
                <c:pt idx="5">
                  <c:v>3.1468110000000049E-2</c:v>
                </c:pt>
              </c:numCache>
            </c:numRef>
          </c:val>
          <c:smooth val="0"/>
          <c:extLst>
            <c:ext xmlns:c16="http://schemas.microsoft.com/office/drawing/2014/chart" uri="{C3380CC4-5D6E-409C-BE32-E72D297353CC}">
              <c16:uniqueId val="{00000000-59F0-4C02-BE76-246C7AB67332}"/>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Calculations!$H$74:$H$79</c:f>
              <c:numCache>
                <c:formatCode>0.0%</c:formatCode>
                <c:ptCount val="6"/>
                <c:pt idx="0">
                  <c:v>0</c:v>
                </c:pt>
                <c:pt idx="1">
                  <c:v>1.7371824093783461E-2</c:v>
                </c:pt>
                <c:pt idx="2">
                  <c:v>1.6651420287459473E-2</c:v>
                </c:pt>
                <c:pt idx="3">
                  <c:v>1.5166711545653522E-2</c:v>
                </c:pt>
                <c:pt idx="4">
                  <c:v>1.7304343352379181E-2</c:v>
                </c:pt>
                <c:pt idx="5">
                  <c:v>3.1935674100389111E-2</c:v>
                </c:pt>
              </c:numCache>
            </c:numRef>
          </c:val>
          <c:smooth val="0"/>
          <c:extLst>
            <c:ext xmlns:c16="http://schemas.microsoft.com/office/drawing/2014/chart" uri="{C3380CC4-5D6E-409C-BE32-E72D297353CC}">
              <c16:uniqueId val="{00000001-59F0-4C02-BE76-246C7AB67332}"/>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409]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layout>
        <c:manualLayout>
          <c:xMode val="edge"/>
          <c:yMode val="edge"/>
          <c:x val="0.13299587551556058"/>
          <c:y val="0.25401872494289307"/>
          <c:w val="0.4841185027824601"/>
          <c:h val="7.5373708169291342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5454545454545456E-2"/>
          <c:y val="0.24432213229411132"/>
          <c:w val="0.90909090909090906"/>
          <c:h val="0.56283487520068853"/>
        </c:manualLayout>
      </c:layout>
      <c:pie3DChart>
        <c:varyColors val="1"/>
        <c:ser>
          <c:idx val="0"/>
          <c:order val="0"/>
          <c:tx>
            <c:v>Market Value</c:v>
          </c:tx>
          <c:dPt>
            <c:idx val="0"/>
            <c:bubble3D val="0"/>
            <c:spPr>
              <a:solidFill>
                <a:schemeClr val="accent1">
                  <a:shade val="5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E2B-9E4A-A3B0-CCBD43EBBDA7}"/>
              </c:ext>
            </c:extLst>
          </c:dPt>
          <c:dPt>
            <c:idx val="1"/>
            <c:bubble3D val="0"/>
            <c:spPr>
              <a:solidFill>
                <a:schemeClr val="accent1">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E2B-9E4A-A3B0-CCBD43EBBDA7}"/>
              </c:ext>
            </c:extLst>
          </c:dPt>
          <c:dPt>
            <c:idx val="2"/>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E2B-9E4A-A3B0-CCBD43EBBDA7}"/>
              </c:ext>
            </c:extLst>
          </c:dPt>
          <c:dPt>
            <c:idx val="3"/>
            <c:bubble3D val="0"/>
            <c:spPr>
              <a:solidFill>
                <a:schemeClr val="accent1">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E2B-9E4A-A3B0-CCBD43EBBDA7}"/>
              </c:ext>
            </c:extLst>
          </c:dPt>
          <c:dPt>
            <c:idx val="4"/>
            <c:bubble3D val="0"/>
            <c:spPr>
              <a:solidFill>
                <a:schemeClr val="accent1">
                  <a:tint val="54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E2B-9E4A-A3B0-CCBD43EBBDA7}"/>
              </c:ext>
            </c:extLst>
          </c:dPt>
          <c:dLbls>
            <c:dLbl>
              <c:idx val="2"/>
              <c:delete val="1"/>
              <c:extLst>
                <c:ext xmlns:c15="http://schemas.microsoft.com/office/drawing/2012/chart" uri="{CE6537A1-D6FC-4f65-9D91-7224C49458BB}"/>
                <c:ext xmlns:c16="http://schemas.microsoft.com/office/drawing/2014/chart" uri="{C3380CC4-5D6E-409C-BE32-E72D297353CC}">
                  <c16:uniqueId val="{00000005-7E2B-9E4A-A3B0-CCBD43EBBDA7}"/>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0.35</c:v>
                </c:pt>
                <c:pt idx="2">
                  <c:v>0</c:v>
                </c:pt>
                <c:pt idx="3">
                  <c:v>0.3</c:v>
                </c:pt>
                <c:pt idx="4">
                  <c:v>0.34</c:v>
                </c:pt>
              </c:numCache>
            </c:numRef>
          </c:val>
          <c:extLst>
            <c:ext xmlns:c16="http://schemas.microsoft.com/office/drawing/2014/chart" uri="{C3380CC4-5D6E-409C-BE32-E72D297353CC}">
              <c16:uniqueId val="{0000000A-7E2B-9E4A-A3B0-CCBD43EBBDA7}"/>
            </c:ext>
          </c:extLst>
        </c:ser>
        <c:dLbls>
          <c:dLblPos val="ctr"/>
          <c:showLegendKey val="0"/>
          <c:showVal val="0"/>
          <c:showCatName val="0"/>
          <c:showSerName val="0"/>
          <c:showPercent val="1"/>
          <c:showBubbleSize val="0"/>
          <c:showLeaderLines val="1"/>
        </c:dLbls>
      </c:pie3DChart>
      <c:spPr>
        <a:noFill/>
        <a:ln>
          <a:noFill/>
        </a:ln>
        <a:effectLst/>
      </c:spPr>
    </c:plotArea>
    <c:legend>
      <c:legendPos val="b"/>
      <c:legendEntry>
        <c:idx val="2"/>
        <c:delete val="1"/>
      </c:legendEntry>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Current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651358913106124E-2"/>
          <c:y val="0.10180369131230428"/>
          <c:w val="0.93534846805487748"/>
          <c:h val="0.72317746953833828"/>
        </c:manualLayout>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B8-6445-9B56-B4E63FA35054}"/>
              </c:ext>
            </c:extLst>
          </c:dPt>
          <c:dPt>
            <c:idx val="1"/>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B8-6445-9B56-B4E63FA35054}"/>
              </c:ext>
            </c:extLst>
          </c:dPt>
          <c:dPt>
            <c:idx val="2"/>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B8-6445-9B56-B4E63FA35054}"/>
              </c:ext>
            </c:extLst>
          </c:dPt>
          <c:dPt>
            <c:idx val="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BB8-6445-9B56-B4E63FA35054}"/>
              </c:ext>
            </c:extLst>
          </c:dPt>
          <c:dPt>
            <c:idx val="4"/>
            <c:bubble3D val="0"/>
            <c:spPr>
              <a:solidFill>
                <a:sysClr val="window" lastClr="FFFFFF"/>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BB8-6445-9B56-B4E63FA35054}"/>
              </c:ext>
            </c:extLst>
          </c:dPt>
          <c:dLbls>
            <c:dLbl>
              <c:idx val="0"/>
              <c:layout>
                <c:manualLayout>
                  <c:x val="-2.0572098953404103E-2"/>
                  <c:y val="5.525850974045026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BB8-6445-9B56-B4E63FA35054}"/>
                </c:ext>
              </c:extLst>
            </c:dLbl>
            <c:dLbl>
              <c:idx val="2"/>
              <c:layout>
                <c:manualLayout>
                  <c:x val="-7.1756027239722048E-2"/>
                  <c:y val="-0.2535810637056509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BB8-6445-9B56-B4E63FA35054}"/>
                </c:ext>
              </c:extLst>
            </c:dLbl>
            <c:dLbl>
              <c:idx val="3"/>
              <c:layout>
                <c:manualLayout>
                  <c:x val="0.1688625984251968"/>
                  <c:y val="-0.1885477558981438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BB8-6445-9B56-B4E63FA35054}"/>
                </c:ext>
              </c:extLst>
            </c:dLbl>
            <c:dLbl>
              <c:idx val="4"/>
              <c:layout>
                <c:manualLayout>
                  <c:x val="6.5109229619379719E-2"/>
                  <c:y val="9.31323888290290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BB8-6445-9B56-B4E63FA35054}"/>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_("$"* #,##0.00_);_("$"* \(#,##0.00\);_("$"* "-"??_);_(@_)</c:formatCode>
                <c:ptCount val="5"/>
                <c:pt idx="0">
                  <c:v>10025.549999999988</c:v>
                </c:pt>
                <c:pt idx="1">
                  <c:v>299400.60000000003</c:v>
                </c:pt>
                <c:pt idx="2">
                  <c:v>170207.59</c:v>
                </c:pt>
                <c:pt idx="3">
                  <c:v>202791.83</c:v>
                </c:pt>
                <c:pt idx="4">
                  <c:v>349042.54</c:v>
                </c:pt>
              </c:numCache>
            </c:numRef>
          </c:val>
          <c:extLst>
            <c:ext xmlns:c16="http://schemas.microsoft.com/office/drawing/2014/chart" uri="{C3380CC4-5D6E-409C-BE32-E72D297353CC}">
              <c16:uniqueId val="{0000000A-EBB8-6445-9B56-B4E63FA35054}"/>
            </c:ext>
          </c:extLst>
        </c:ser>
        <c:dLbls>
          <c:dLblPos val="ctr"/>
          <c:showLegendKey val="0"/>
          <c:showVal val="0"/>
          <c:showCatName val="0"/>
          <c:showSerName val="0"/>
          <c:showPercent val="1"/>
          <c:showBubbleSize val="0"/>
          <c:showLeaderLines val="0"/>
        </c:dLbls>
      </c:pie3DChart>
      <c:spPr>
        <a:noFill/>
        <a:ln>
          <a:noFill/>
        </a:ln>
        <a:effectLst/>
      </c:spPr>
    </c:plotArea>
    <c:legend>
      <c:legendPos val="b"/>
      <c:layout>
        <c:manualLayout>
          <c:xMode val="edge"/>
          <c:yMode val="edge"/>
          <c:x val="6.1878121834270751E-2"/>
          <c:y val="0.79728282088715796"/>
          <c:w val="0.88348360569643924"/>
          <c:h val="0.1794125276556262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chemeClr val="accent1">
                  <a:shade val="5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47C9-4B21-9758-25C46F5E0C8C}"/>
              </c:ext>
            </c:extLst>
          </c:dPt>
          <c:dPt>
            <c:idx val="1"/>
            <c:bubble3D val="0"/>
            <c:spPr>
              <a:solidFill>
                <a:schemeClr val="accent1">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7C9-4B21-9758-25C46F5E0C8C}"/>
              </c:ext>
            </c:extLst>
          </c:dPt>
          <c:dPt>
            <c:idx val="2"/>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47C9-4B21-9758-25C46F5E0C8C}"/>
              </c:ext>
            </c:extLst>
          </c:dPt>
          <c:dPt>
            <c:idx val="3"/>
            <c:bubble3D val="0"/>
            <c:spPr>
              <a:solidFill>
                <a:schemeClr val="accent1">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47C9-4B21-9758-25C46F5E0C8C}"/>
              </c:ext>
            </c:extLst>
          </c:dPt>
          <c:dPt>
            <c:idx val="4"/>
            <c:bubble3D val="0"/>
            <c:spPr>
              <a:solidFill>
                <a:schemeClr val="accent1">
                  <a:tint val="54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7C9-4B21-9758-25C46F5E0C8C}"/>
              </c:ext>
            </c:extLst>
          </c:dPt>
          <c:dLbls>
            <c:dLbl>
              <c:idx val="2"/>
              <c:delete val="1"/>
              <c:extLst>
                <c:ext xmlns:c15="http://schemas.microsoft.com/office/drawing/2012/chart" uri="{CE6537A1-D6FC-4f65-9D91-7224C49458BB}"/>
                <c:ext xmlns:c16="http://schemas.microsoft.com/office/drawing/2014/chart" uri="{C3380CC4-5D6E-409C-BE32-E72D297353CC}">
                  <c16:uniqueId val="{0000001B-47C9-4B21-9758-25C46F5E0C8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0.35</c:v>
                </c:pt>
                <c:pt idx="2">
                  <c:v>0</c:v>
                </c:pt>
                <c:pt idx="3">
                  <c:v>0.3</c:v>
                </c:pt>
                <c:pt idx="4">
                  <c:v>0.34</c:v>
                </c:pt>
              </c:numCache>
            </c:numRef>
          </c:val>
          <c:extLst>
            <c:ext xmlns:c16="http://schemas.microsoft.com/office/drawing/2014/chart" uri="{C3380CC4-5D6E-409C-BE32-E72D297353CC}">
              <c16:uniqueId val="{0000000A-60E9-4584-8135-DE3A3DCA05B3}"/>
            </c:ext>
          </c:extLst>
        </c:ser>
        <c:dLbls>
          <c:dLblPos val="ctr"/>
          <c:showLegendKey val="0"/>
          <c:showVal val="0"/>
          <c:showCatName val="0"/>
          <c:showSerName val="0"/>
          <c:showPercent val="1"/>
          <c:showBubbleSize val="0"/>
          <c:showLeaderLines val="1"/>
        </c:dLbls>
      </c:pie3DChart>
      <c:spPr>
        <a:noFill/>
        <a:ln>
          <a:noFill/>
        </a:ln>
        <a:effectLst/>
      </c:spPr>
    </c:plotArea>
    <c:legend>
      <c:legendPos val="b"/>
      <c:legendEntry>
        <c:idx val="2"/>
        <c:delete val="1"/>
      </c:legendEntry>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Current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09E-429D-9762-CA1C9933AA80}"/>
              </c:ext>
            </c:extLst>
          </c:dPt>
          <c:dPt>
            <c:idx val="1"/>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09E-429D-9762-CA1C9933AA80}"/>
              </c:ext>
            </c:extLst>
          </c:dPt>
          <c:dPt>
            <c:idx val="2"/>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09E-429D-9762-CA1C9933AA80}"/>
              </c:ext>
            </c:extLst>
          </c:dPt>
          <c:dPt>
            <c:idx val="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09E-429D-9762-CA1C9933AA80}"/>
              </c:ext>
            </c:extLst>
          </c:dPt>
          <c:dPt>
            <c:idx val="4"/>
            <c:bubble3D val="0"/>
            <c:spPr>
              <a:solidFill>
                <a:sysClr val="window" lastClr="FFFFFF"/>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09E-429D-9762-CA1C9933AA80}"/>
              </c:ext>
            </c:extLst>
          </c:dPt>
          <c:dLbls>
            <c:dLbl>
              <c:idx val="0"/>
              <c:layout>
                <c:manualLayout>
                  <c:x val="-2.0572098953404103E-2"/>
                  <c:y val="5.525850974045026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9E-429D-9762-CA1C9933AA80}"/>
                </c:ext>
              </c:extLst>
            </c:dLbl>
            <c:dLbl>
              <c:idx val="2"/>
              <c:layout>
                <c:manualLayout>
                  <c:x val="-7.1756027239722048E-2"/>
                  <c:y val="-0.2535810637056509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09E-429D-9762-CA1C9933AA80}"/>
                </c:ext>
              </c:extLst>
            </c:dLbl>
            <c:dLbl>
              <c:idx val="3"/>
              <c:layout>
                <c:manualLayout>
                  <c:x val="0.16886267450013073"/>
                  <c:y val="-1.98096428414518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09E-429D-9762-CA1C9933AA80}"/>
                </c:ext>
              </c:extLst>
            </c:dLbl>
            <c:dLbl>
              <c:idx val="4"/>
              <c:layout>
                <c:manualLayout>
                  <c:x val="6.5109229619379719E-2"/>
                  <c:y val="9.31323888290290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09E-429D-9762-CA1C9933AA80}"/>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_("$"* #,##0.00_);_("$"* \(#,##0.00\);_("$"* "-"??_);_(@_)</c:formatCode>
                <c:ptCount val="5"/>
                <c:pt idx="0">
                  <c:v>10025.549999999988</c:v>
                </c:pt>
                <c:pt idx="1">
                  <c:v>299400.60000000003</c:v>
                </c:pt>
                <c:pt idx="2">
                  <c:v>170207.59</c:v>
                </c:pt>
                <c:pt idx="3">
                  <c:v>202791.83</c:v>
                </c:pt>
                <c:pt idx="4">
                  <c:v>349042.54</c:v>
                </c:pt>
              </c:numCache>
            </c:numRef>
          </c:val>
          <c:extLst>
            <c:ext xmlns:c16="http://schemas.microsoft.com/office/drawing/2014/chart" uri="{C3380CC4-5D6E-409C-BE32-E72D297353CC}">
              <c16:uniqueId val="{0000000A-809E-429D-9762-CA1C9933AA80}"/>
            </c:ext>
          </c:extLst>
        </c:ser>
        <c:dLbls>
          <c:dLblPos val="ctr"/>
          <c:showLegendKey val="0"/>
          <c:showVal val="0"/>
          <c:showCatName val="0"/>
          <c:showSerName val="0"/>
          <c:showPercent val="1"/>
          <c:showBubbleSize val="0"/>
          <c:showLeaderLines val="0"/>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42-48A5-B2F1-C3510A7E49E3}"/>
              </c:ext>
            </c:extLst>
          </c:dPt>
          <c:dPt>
            <c:idx val="1"/>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42-48A5-B2F1-C3510A7E49E3}"/>
              </c:ext>
            </c:extLst>
          </c:dPt>
          <c:dPt>
            <c:idx val="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42-48A5-B2F1-C3510A7E49E3}"/>
              </c:ext>
            </c:extLst>
          </c:dPt>
          <c:dPt>
            <c:idx val="3"/>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B42-48A5-B2F1-C3510A7E49E3}"/>
              </c:ext>
            </c:extLst>
          </c:dPt>
          <c:dPt>
            <c:idx val="4"/>
            <c:bubble3D val="0"/>
            <c:spPr>
              <a:solidFill>
                <a:schemeClr val="bg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B42-48A5-B2F1-C3510A7E49E3}"/>
              </c:ext>
            </c:extLst>
          </c:dPt>
          <c:dLbls>
            <c:dLbl>
              <c:idx val="0"/>
              <c:layout>
                <c:manualLayout>
                  <c:x val="-8.8614712504310258E-3"/>
                  <c:y val="3.18471415856255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B42-48A5-B2F1-C3510A7E49E3}"/>
                </c:ext>
              </c:extLst>
            </c:dLbl>
            <c:dLbl>
              <c:idx val="1"/>
              <c:layout>
                <c:manualLayout>
                  <c:x val="-4.9668065058785689E-2"/>
                  <c:y val="0.1385839317518677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B42-48A5-B2F1-C3510A7E49E3}"/>
                </c:ext>
              </c:extLst>
            </c:dLbl>
            <c:dLbl>
              <c:idx val="2"/>
              <c:delete val="1"/>
              <c:extLst>
                <c:ext xmlns:c15="http://schemas.microsoft.com/office/drawing/2012/chart" uri="{CE6537A1-D6FC-4f65-9D91-7224C49458BB}"/>
                <c:ext xmlns:c16="http://schemas.microsoft.com/office/drawing/2014/chart" uri="{C3380CC4-5D6E-409C-BE32-E72D297353CC}">
                  <c16:uniqueId val="{00000005-EB42-48A5-B2F1-C3510A7E49E3}"/>
                </c:ext>
              </c:extLst>
            </c:dLbl>
            <c:dLbl>
              <c:idx val="4"/>
              <c:layout>
                <c:manualLayout>
                  <c:x val="5.3135506741669176E-2"/>
                  <c:y val="0.1088677776927758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B42-48A5-B2F1-C3510A7E49E3}"/>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0.35</c:v>
                </c:pt>
                <c:pt idx="2">
                  <c:v>0</c:v>
                </c:pt>
                <c:pt idx="3">
                  <c:v>0.3</c:v>
                </c:pt>
                <c:pt idx="4">
                  <c:v>0.34</c:v>
                </c:pt>
              </c:numCache>
            </c:numRef>
          </c:val>
          <c:extLst>
            <c:ext xmlns:c16="http://schemas.microsoft.com/office/drawing/2014/chart" uri="{C3380CC4-5D6E-409C-BE32-E72D297353CC}">
              <c16:uniqueId val="{0000000A-EB42-48A5-B2F1-C3510A7E49E3}"/>
            </c:ext>
          </c:extLst>
        </c:ser>
        <c:dLbls>
          <c:dLblPos val="ctr"/>
          <c:showLegendKey val="0"/>
          <c:showVal val="0"/>
          <c:showCatName val="0"/>
          <c:showSerName val="0"/>
          <c:showPercent val="1"/>
          <c:showBubbleSize val="0"/>
          <c:showLeaderLines val="0"/>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Portfolio Returns vs. Policy Portfolio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Calculations!$E$74:$E$79</c:f>
              <c:numCache>
                <c:formatCode>0.0%</c:formatCode>
                <c:ptCount val="6"/>
                <c:pt idx="0">
                  <c:v>0</c:v>
                </c:pt>
                <c:pt idx="1">
                  <c:v>1.7370350000000201E-2</c:v>
                </c:pt>
                <c:pt idx="2">
                  <c:v>1.7348889999999839E-2</c:v>
                </c:pt>
                <c:pt idx="3">
                  <c:v>1.593700000000009E-2</c:v>
                </c:pt>
                <c:pt idx="4">
                  <c:v>1.8549530000000036E-2</c:v>
                </c:pt>
                <c:pt idx="5">
                  <c:v>3.1468110000000049E-2</c:v>
                </c:pt>
              </c:numCache>
            </c:numRef>
          </c:val>
          <c:smooth val="0"/>
          <c:extLst>
            <c:ext xmlns:c16="http://schemas.microsoft.com/office/drawing/2014/chart" uri="{C3380CC4-5D6E-409C-BE32-E72D297353CC}">
              <c16:uniqueId val="{00000002-F7B8-4A14-B003-868FECB83B49}"/>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Calculations!$H$74:$H$79</c:f>
              <c:numCache>
                <c:formatCode>0.0%</c:formatCode>
                <c:ptCount val="6"/>
                <c:pt idx="0">
                  <c:v>0</c:v>
                </c:pt>
                <c:pt idx="1">
                  <c:v>1.7371824093783461E-2</c:v>
                </c:pt>
                <c:pt idx="2">
                  <c:v>1.6651420287459473E-2</c:v>
                </c:pt>
                <c:pt idx="3">
                  <c:v>1.5166711545653522E-2</c:v>
                </c:pt>
                <c:pt idx="4">
                  <c:v>1.7304343352379181E-2</c:v>
                </c:pt>
                <c:pt idx="5">
                  <c:v>3.1935674100389111E-2</c:v>
                </c:pt>
              </c:numCache>
            </c:numRef>
          </c:val>
          <c:smooth val="0"/>
          <c:extLst>
            <c:ext xmlns:c16="http://schemas.microsoft.com/office/drawing/2014/chart" uri="{C3380CC4-5D6E-409C-BE32-E72D297353CC}">
              <c16:uniqueId val="{00000005-F7B8-4A14-B003-868FECB83B49}"/>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chart" Target="../charts/chart3.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3.jpeg"/><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495300</xdr:colOff>
      <xdr:row>9</xdr:row>
      <xdr:rowOff>76200</xdr:rowOff>
    </xdr:from>
    <xdr:to>
      <xdr:col>15</xdr:col>
      <xdr:colOff>274259</xdr:colOff>
      <xdr:row>16</xdr:row>
      <xdr:rowOff>57150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3649325" y="2314575"/>
          <a:ext cx="7017959" cy="1314450"/>
        </a:xfrm>
        <a:prstGeom prst="rect">
          <a:avLst/>
        </a:prstGeom>
        <a:noFill/>
        <a:ln w="9525" cmpd="sng">
          <a:noFill/>
        </a:ln>
        <a:effectLst/>
      </xdr:spPr>
      <xdr:txBody>
        <a:bodyPr vertOverflow="clip" horzOverflow="clip" wrap="square" rtlCol="0" anchor="t"/>
        <a:lstStyle/>
        <a:p>
          <a:r>
            <a:rPr lang="en-US" sz="1100">
              <a:effectLst/>
              <a:latin typeface="+mn-lt"/>
              <a:ea typeface="+mn-ea"/>
              <a:cs typeface="+mn-cs"/>
            </a:rPr>
            <a:t> </a:t>
          </a:r>
          <a:r>
            <a:rPr lang="en-US" sz="1100" i="1">
              <a:effectLst/>
              <a:latin typeface="+mn-lt"/>
              <a:ea typeface="+mn-ea"/>
              <a:cs typeface="+mn-cs"/>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565152</xdr:colOff>
      <xdr:row>3</xdr:row>
      <xdr:rowOff>69227</xdr:rowOff>
    </xdr:from>
    <xdr:to>
      <xdr:col>6</xdr:col>
      <xdr:colOff>98806</xdr:colOff>
      <xdr:row>3</xdr:row>
      <xdr:rowOff>760942</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stretch>
          <a:fillRect/>
        </a:stretch>
      </xdr:blipFill>
      <xdr:spPr>
        <a:xfrm>
          <a:off x="3184527" y="640727"/>
          <a:ext cx="1991104" cy="691715"/>
        </a:xfrm>
        <a:prstGeom prst="rect">
          <a:avLst/>
        </a:prstGeom>
      </xdr:spPr>
    </xdr:pic>
    <xdr:clientData/>
  </xdr:twoCellAnchor>
  <xdr:twoCellAnchor>
    <xdr:from>
      <xdr:col>11</xdr:col>
      <xdr:colOff>50800</xdr:colOff>
      <xdr:row>21</xdr:row>
      <xdr:rowOff>57150</xdr:rowOff>
    </xdr:from>
    <xdr:to>
      <xdr:col>19</xdr:col>
      <xdr:colOff>665843</xdr:colOff>
      <xdr:row>36</xdr:row>
      <xdr:rowOff>161925</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10886</xdr:colOff>
      <xdr:row>16</xdr:row>
      <xdr:rowOff>174171</xdr:rowOff>
    </xdr:from>
    <xdr:to>
      <xdr:col>10</xdr:col>
      <xdr:colOff>435428</xdr:colOff>
      <xdr:row>22</xdr:row>
      <xdr:rowOff>163285</xdr:rowOff>
    </xdr:to>
    <xdr:sp macro="" textlink="" fLocksText="0">
      <xdr:nvSpPr>
        <xdr:cNvPr id="3" name="TextBox 2">
          <a:extLst>
            <a:ext uri="{FF2B5EF4-FFF2-40B4-BE49-F238E27FC236}">
              <a16:creationId xmlns:a16="http://schemas.microsoft.com/office/drawing/2014/main" id="{00000000-0008-0000-0100-000003000000}"/>
            </a:ext>
          </a:extLst>
        </xdr:cNvPr>
        <xdr:cNvSpPr txBox="1"/>
      </xdr:nvSpPr>
      <xdr:spPr>
        <a:xfrm>
          <a:off x="3015343" y="4191000"/>
          <a:ext cx="7522028" cy="1164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International market not very appealing, and with large debt assumed by EU countries due to COVID, not expected to recover. </a:t>
          </a:r>
        </a:p>
        <a:p>
          <a:r>
            <a:rPr lang="en-US" sz="1100" baseline="0">
              <a:effectLst/>
            </a:rPr>
            <a:t>Enough time to recover any potential loses, but risk level is still moderate. So target to allocate roughly 35% in stable assets and 65% on higher risk assets, diversified and uncorrelated as much as possible. Use Gold and US stock market as high-risk asset: almost zero correlation between them.</a:t>
          </a:r>
          <a:endParaRPr lang="en-US" sz="1100" baseline="0"/>
        </a:p>
      </xdr:txBody>
    </xdr:sp>
    <xdr:clientData fLocksWithSheet="0"/>
  </xdr:twoCellAnchor>
  <xdr:twoCellAnchor>
    <xdr:from>
      <xdr:col>11</xdr:col>
      <xdr:colOff>57149</xdr:colOff>
      <xdr:row>38</xdr:row>
      <xdr:rowOff>28575</xdr:rowOff>
    </xdr:from>
    <xdr:to>
      <xdr:col>19</xdr:col>
      <xdr:colOff>742950</xdr:colOff>
      <xdr:row>50</xdr:row>
      <xdr:rowOff>180974</xdr:rowOff>
    </xdr:to>
    <xdr:sp macro="" textlink="" fLocksText="0">
      <xdr:nvSpPr>
        <xdr:cNvPr id="4" name="TextBox 3">
          <a:extLst>
            <a:ext uri="{FF2B5EF4-FFF2-40B4-BE49-F238E27FC236}">
              <a16:creationId xmlns:a16="http://schemas.microsoft.com/office/drawing/2014/main" id="{00000000-0008-0000-0100-000004000000}"/>
            </a:ext>
          </a:extLst>
        </xdr:cNvPr>
        <xdr:cNvSpPr txBox="1"/>
      </xdr:nvSpPr>
      <xdr:spPr>
        <a:xfrm>
          <a:off x="8696324" y="8410575"/>
          <a:ext cx="7334251" cy="2552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Returns</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Total Current Portfolio holding period return was 3.1%, which is 30.3% annualized, beating my target return.</a:t>
          </a:r>
          <a:r>
            <a:rPr lang="en-IE" sz="1100" baseline="0">
              <a:solidFill>
                <a:schemeClr val="dk1"/>
              </a:solidFill>
              <a:effectLst/>
              <a:latin typeface="+mn-lt"/>
              <a:ea typeface="+mn-ea"/>
              <a:cs typeface="+mn-cs"/>
            </a:rPr>
            <a:t> The policy portfolio and the final portfolio performed similarly, with the policy portfolio performing slightly better. In other words, my tacktical trade did not improve my position (even though imporved the risk exposure). Both US and EU equity performed  very well, as well as gold. Treasury bonds performed the worst in my portfolio,  with annualised loses 2.1%.  Substantial deviations from expected returns.</a:t>
          </a:r>
          <a:endParaRPr lang="en-US" sz="1100"/>
        </a:p>
        <a:p>
          <a:endParaRPr lang="en-US" sz="1100"/>
        </a:p>
        <a:p>
          <a:r>
            <a:rPr lang="en-US" sz="1100"/>
            <a:t>Risk</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Even though the Current portfolio had</a:t>
          </a:r>
          <a:r>
            <a:rPr lang="en-IE" sz="1100" baseline="0">
              <a:solidFill>
                <a:schemeClr val="dk1"/>
              </a:solidFill>
              <a:effectLst/>
              <a:latin typeface="+mn-lt"/>
              <a:ea typeface="+mn-ea"/>
              <a:cs typeface="+mn-cs"/>
            </a:rPr>
            <a:t> slightly lower performance than the Policy portfolio</a:t>
          </a:r>
          <a:r>
            <a:rPr lang="en-IE" sz="1100">
              <a:solidFill>
                <a:schemeClr val="dk1"/>
              </a:solidFill>
              <a:effectLst/>
              <a:latin typeface="+mn-lt"/>
              <a:ea typeface="+mn-ea"/>
              <a:cs typeface="+mn-cs"/>
            </a:rPr>
            <a:t>, the Current Portfolio has less systematic risk than the Policy Portfolio, i.e. </a:t>
          </a:r>
          <a:r>
            <a:rPr lang="en-IE" sz="1100" baseline="0">
              <a:solidFill>
                <a:schemeClr val="dk1"/>
              </a:solidFill>
              <a:effectLst/>
              <a:latin typeface="+mn-lt"/>
              <a:ea typeface="+mn-ea"/>
              <a:cs typeface="+mn-cs"/>
            </a:rPr>
            <a:t> beta (relative to policy portfolio)&lt;1, </a:t>
          </a:r>
          <a:r>
            <a:rPr lang="en-IE" sz="1100">
              <a:solidFill>
                <a:schemeClr val="dk1"/>
              </a:solidFill>
              <a:effectLst/>
              <a:latin typeface="+mn-lt"/>
              <a:ea typeface="+mn-ea"/>
              <a:cs typeface="+mn-cs"/>
            </a:rPr>
            <a:t>and a lower standard deviation of 0.8% (7.1% annualized). Since  the Current Portfolio and the Policy Portfolio are very similar</a:t>
          </a:r>
          <a:r>
            <a:rPr lang="en-IE" sz="1100" baseline="0">
              <a:solidFill>
                <a:schemeClr val="dk1"/>
              </a:solidFill>
              <a:effectLst/>
              <a:latin typeface="+mn-lt"/>
              <a:ea typeface="+mn-ea"/>
              <a:cs typeface="+mn-cs"/>
            </a:rPr>
            <a:t> in allocations</a:t>
          </a:r>
          <a:r>
            <a:rPr lang="en-IE" sz="1100">
              <a:solidFill>
                <a:schemeClr val="dk1"/>
              </a:solidFill>
              <a:effectLst/>
              <a:latin typeface="+mn-lt"/>
              <a:ea typeface="+mn-ea"/>
              <a:cs typeface="+mn-cs"/>
            </a:rPr>
            <a:t>, the correlation between them is high at 1.00. </a:t>
          </a:r>
          <a:endParaRPr lang="en-US" sz="1100"/>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While only a short period of time has passed, so far the portfolio appears to be perform</a:t>
          </a:r>
          <a:r>
            <a:rPr lang="en-IE" sz="1100" baseline="0">
              <a:solidFill>
                <a:schemeClr val="dk1"/>
              </a:solidFill>
              <a:effectLst/>
              <a:latin typeface="+mn-lt"/>
              <a:ea typeface="+mn-ea"/>
              <a:cs typeface="+mn-cs"/>
            </a:rPr>
            <a:t> well.</a:t>
          </a:r>
          <a:endParaRPr lang="en-IE"/>
        </a:p>
        <a:p>
          <a:endParaRPr lang="en-US" sz="1100"/>
        </a:p>
      </xdr:txBody>
    </xdr:sp>
    <xdr:clientData fLocksWithSheet="0"/>
  </xdr:twoCellAnchor>
  <xdr:twoCellAnchor>
    <xdr:from>
      <xdr:col>1</xdr:col>
      <xdr:colOff>10886</xdr:colOff>
      <xdr:row>24</xdr:row>
      <xdr:rowOff>174171</xdr:rowOff>
    </xdr:from>
    <xdr:to>
      <xdr:col>6</xdr:col>
      <xdr:colOff>764886</xdr:colOff>
      <xdr:row>29</xdr:row>
      <xdr:rowOff>43543</xdr:rowOff>
    </xdr:to>
    <xdr:sp macro="" textlink="" fLocksText="0">
      <xdr:nvSpPr>
        <xdr:cNvPr id="5" name="TextBox 4">
          <a:extLst>
            <a:ext uri="{FF2B5EF4-FFF2-40B4-BE49-F238E27FC236}">
              <a16:creationId xmlns:a16="http://schemas.microsoft.com/office/drawing/2014/main" id="{00000000-0008-0000-0100-000005000000}"/>
            </a:ext>
          </a:extLst>
        </xdr:cNvPr>
        <xdr:cNvSpPr txBox="1"/>
      </xdr:nvSpPr>
      <xdr:spPr>
        <a:xfrm>
          <a:off x="1829295" y="5773716"/>
          <a:ext cx="4737182" cy="87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Move</a:t>
          </a:r>
          <a:r>
            <a:rPr lang="en-US" sz="1100" baseline="0"/>
            <a:t> towards the forecasted Efficient frontier by buying 20% EU total Stock and selling 20% US total stock.</a:t>
          </a:r>
          <a:endParaRPr lang="en-US" sz="1100"/>
        </a:p>
      </xdr:txBody>
    </xdr:sp>
    <xdr:clientData fLocksWithSheet="0"/>
  </xdr:twoCellAnchor>
  <xdr:twoCellAnchor>
    <xdr:from>
      <xdr:col>2</xdr:col>
      <xdr:colOff>32657</xdr:colOff>
      <xdr:row>30</xdr:row>
      <xdr:rowOff>28575</xdr:rowOff>
    </xdr:from>
    <xdr:to>
      <xdr:col>6</xdr:col>
      <xdr:colOff>370115</xdr:colOff>
      <xdr:row>36</xdr:row>
      <xdr:rowOff>180974</xdr:rowOff>
    </xdr:to>
    <xdr:sp macro="" textlink="" fLocksText="0">
      <xdr:nvSpPr>
        <xdr:cNvPr id="7" name="TextBox 6">
          <a:extLst>
            <a:ext uri="{FF2B5EF4-FFF2-40B4-BE49-F238E27FC236}">
              <a16:creationId xmlns:a16="http://schemas.microsoft.com/office/drawing/2014/main" id="{00000000-0008-0000-0100-000007000000}"/>
            </a:ext>
          </a:extLst>
        </xdr:cNvPr>
        <xdr:cNvSpPr txBox="1"/>
      </xdr:nvSpPr>
      <xdr:spPr>
        <a:xfrm>
          <a:off x="1623332" y="6829425"/>
          <a:ext cx="3823608" cy="1343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Price of gold to continue going up in 2021 as people are hedging against the instability caused</a:t>
          </a:r>
          <a:r>
            <a:rPr lang="en-US" sz="1100" baseline="0">
              <a:effectLst/>
            </a:rPr>
            <a:t> by covid. But I expect the current momentum to slow down as time passes.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I do not expect inflation to rise this year, due to Covid. So, I expect bond prices to go up.</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US Equity= (1/15.91)+2.2%</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EU Equity =1/23.22+5.04%</a:t>
          </a:r>
          <a:endParaRPr lang="en-US" sz="1100">
            <a:effectLst/>
          </a:endParaRPr>
        </a:p>
      </xdr:txBody>
    </xdr:sp>
    <xdr:clientData fLocksWithSheet="0"/>
  </xdr:twoCellAnchor>
  <xdr:twoCellAnchor>
    <xdr:from>
      <xdr:col>11</xdr:col>
      <xdr:colOff>27214</xdr:colOff>
      <xdr:row>5</xdr:row>
      <xdr:rowOff>0</xdr:rowOff>
    </xdr:from>
    <xdr:to>
      <xdr:col>19</xdr:col>
      <xdr:colOff>748392</xdr:colOff>
      <xdr:row>15</xdr:row>
      <xdr:rowOff>176893</xdr:rowOff>
    </xdr:to>
    <xdr:sp macro="" textlink="" fLocksText="0">
      <xdr:nvSpPr>
        <xdr:cNvPr id="24" name="TextBox 23">
          <a:extLst>
            <a:ext uri="{FF2B5EF4-FFF2-40B4-BE49-F238E27FC236}">
              <a16:creationId xmlns:a16="http://schemas.microsoft.com/office/drawing/2014/main" id="{00000000-0008-0000-0100-000018000000}"/>
            </a:ext>
          </a:extLst>
        </xdr:cNvPr>
        <xdr:cNvSpPr txBox="1"/>
      </xdr:nvSpPr>
      <xdr:spPr>
        <a:xfrm>
          <a:off x="10273393" y="1864179"/>
          <a:ext cx="7551963" cy="212271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solidFill>
                <a:schemeClr val="dk1"/>
              </a:solidFill>
              <a:effectLst/>
              <a:latin typeface="+mn-lt"/>
              <a:ea typeface="+mn-ea"/>
              <a:cs typeface="+mn-cs"/>
            </a:rPr>
            <a:t>My main concerns</a:t>
          </a:r>
          <a:r>
            <a:rPr lang="en-IE" sz="1100" baseline="0">
              <a:solidFill>
                <a:schemeClr val="dk1"/>
              </a:solidFill>
              <a:effectLst/>
              <a:latin typeface="+mn-lt"/>
              <a:ea typeface="+mn-ea"/>
              <a:cs typeface="+mn-cs"/>
            </a:rPr>
            <a:t> in terms of behavioural biases are the following:</a:t>
          </a:r>
          <a:endParaRPr lang="en-IE"/>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1) </a:t>
          </a:r>
          <a:r>
            <a:rPr lang="en-IE" sz="1100" b="1">
              <a:solidFill>
                <a:schemeClr val="dk1"/>
              </a:solidFill>
              <a:effectLst/>
              <a:latin typeface="+mn-lt"/>
              <a:ea typeface="+mn-ea"/>
              <a:cs typeface="+mn-cs"/>
            </a:rPr>
            <a:t> Loss Aversion </a:t>
          </a:r>
          <a:r>
            <a:rPr lang="en-IE" sz="1100">
              <a:solidFill>
                <a:schemeClr val="dk1"/>
              </a:solidFill>
              <a:effectLst/>
              <a:latin typeface="+mn-lt"/>
              <a:ea typeface="+mn-ea"/>
              <a:cs typeface="+mn-cs"/>
            </a:rPr>
            <a:t>-</a:t>
          </a:r>
          <a:r>
            <a:rPr lang="en-IE" sz="1100" baseline="0">
              <a:solidFill>
                <a:schemeClr val="dk1"/>
              </a:solidFill>
              <a:effectLst/>
              <a:latin typeface="+mn-lt"/>
              <a:ea typeface="+mn-ea"/>
              <a:cs typeface="+mn-cs"/>
            </a:rPr>
            <a:t> </a:t>
          </a:r>
          <a:r>
            <a:rPr lang="en-IE" sz="1100">
              <a:solidFill>
                <a:schemeClr val="dk1"/>
              </a:solidFill>
              <a:effectLst/>
              <a:latin typeface="+mn-lt"/>
              <a:ea typeface="+mn-ea"/>
              <a:cs typeface="+mn-cs"/>
            </a:rPr>
            <a:t>I can get very </a:t>
          </a:r>
          <a:r>
            <a:rPr lang="en-IE" sz="1100" b="0">
              <a:solidFill>
                <a:schemeClr val="dk1"/>
              </a:solidFill>
              <a:effectLst/>
              <a:latin typeface="+mn-lt"/>
              <a:ea typeface="+mn-ea"/>
              <a:cs typeface="+mn-cs"/>
            </a:rPr>
            <a:t>emotional</a:t>
          </a:r>
          <a:r>
            <a:rPr lang="en-IE" sz="1100" b="0" baseline="0">
              <a:solidFill>
                <a:schemeClr val="dk1"/>
              </a:solidFill>
              <a:effectLst/>
              <a:latin typeface="+mn-lt"/>
              <a:ea typeface="+mn-ea"/>
              <a:cs typeface="+mn-cs"/>
            </a:rPr>
            <a:t> and anxious, </a:t>
          </a:r>
          <a:r>
            <a:rPr lang="en-IE" sz="1100" baseline="0">
              <a:solidFill>
                <a:schemeClr val="dk1"/>
              </a:solidFill>
              <a:effectLst/>
              <a:latin typeface="+mn-lt"/>
              <a:ea typeface="+mn-ea"/>
              <a:cs typeface="+mn-cs"/>
            </a:rPr>
            <a:t>when portfolio not performing as well as I want it to</a:t>
          </a:r>
          <a:r>
            <a:rPr lang="en-IE" sz="1100">
              <a:solidFill>
                <a:schemeClr val="dk1"/>
              </a:solidFill>
              <a:effectLst/>
              <a:latin typeface="+mn-lt"/>
              <a:ea typeface="+mn-ea"/>
              <a:cs typeface="+mn-cs"/>
            </a:rPr>
            <a:t>. I will try to</a:t>
          </a:r>
          <a:r>
            <a:rPr lang="en-IE" sz="1100" baseline="0">
              <a:solidFill>
                <a:schemeClr val="dk1"/>
              </a:solidFill>
              <a:effectLst/>
              <a:latin typeface="+mn-lt"/>
              <a:ea typeface="+mn-ea"/>
              <a:cs typeface="+mn-cs"/>
            </a:rPr>
            <a:t> put emotions aside and be very rational about all my moves. </a:t>
          </a:r>
          <a:r>
            <a:rPr lang="en-IE" sz="1100">
              <a:solidFill>
                <a:schemeClr val="dk1"/>
              </a:solidFill>
              <a:effectLst/>
              <a:latin typeface="+mn-lt"/>
              <a:ea typeface="+mn-ea"/>
              <a:cs typeface="+mn-cs"/>
            </a:rPr>
            <a:t>Also, I will not watch the market every day to stay focused on the long‐term. I</a:t>
          </a:r>
          <a:r>
            <a:rPr lang="en-IE" sz="1100" baseline="0">
              <a:solidFill>
                <a:schemeClr val="dk1"/>
              </a:solidFill>
              <a:effectLst/>
              <a:latin typeface="+mn-lt"/>
              <a:ea typeface="+mn-ea"/>
              <a:cs typeface="+mn-cs"/>
            </a:rPr>
            <a:t> </a:t>
          </a:r>
          <a:r>
            <a:rPr lang="en-IE" sz="1100">
              <a:solidFill>
                <a:schemeClr val="dk1"/>
              </a:solidFill>
              <a:effectLst/>
              <a:latin typeface="+mn-lt"/>
              <a:ea typeface="+mn-ea"/>
              <a:cs typeface="+mn-cs"/>
            </a:rPr>
            <a:t>will review my returns every quarter, focusing my evaluation on the portfolio as a whole rather than a collection of individual assets</a:t>
          </a:r>
          <a:r>
            <a:rPr lang="en-IE" sz="1100" baseline="0">
              <a:solidFill>
                <a:schemeClr val="dk1"/>
              </a:solidFill>
              <a:effectLst/>
              <a:latin typeface="+mn-lt"/>
              <a:ea typeface="+mn-ea"/>
              <a:cs typeface="+mn-cs"/>
            </a:rPr>
            <a:t>, and ask for feedback from one of my collegeues annually.</a:t>
          </a:r>
          <a:endParaRPr lang="en-IE"/>
        </a:p>
        <a:p>
          <a:r>
            <a:rPr lang="en-IE" sz="1100" b="0">
              <a:solidFill>
                <a:schemeClr val="dk1"/>
              </a:solidFill>
              <a:effectLst/>
              <a:latin typeface="+mn-lt"/>
              <a:ea typeface="+mn-ea"/>
              <a:cs typeface="+mn-cs"/>
            </a:rPr>
            <a:t>2) </a:t>
          </a:r>
          <a:r>
            <a:rPr lang="en-IE" sz="1100" b="1">
              <a:solidFill>
                <a:schemeClr val="dk1"/>
              </a:solidFill>
              <a:effectLst/>
              <a:latin typeface="+mn-lt"/>
              <a:ea typeface="+mn-ea"/>
              <a:cs typeface="+mn-cs"/>
            </a:rPr>
            <a:t>Regret Aversion- </a:t>
          </a:r>
          <a:r>
            <a:rPr lang="en-IE" sz="1100" b="1" baseline="0">
              <a:solidFill>
                <a:schemeClr val="dk1"/>
              </a:solidFill>
              <a:effectLst/>
              <a:latin typeface="+mn-lt"/>
              <a:ea typeface="+mn-ea"/>
              <a:cs typeface="+mn-cs"/>
            </a:rPr>
            <a:t> </a:t>
          </a:r>
          <a:r>
            <a:rPr lang="en-IE" sz="1100" b="0" baseline="0">
              <a:solidFill>
                <a:schemeClr val="dk1"/>
              </a:solidFill>
              <a:effectLst/>
              <a:latin typeface="+mn-lt"/>
              <a:ea typeface="+mn-ea"/>
              <a:cs typeface="+mn-cs"/>
            </a:rPr>
            <a:t>Some times I am r</a:t>
          </a:r>
          <a:r>
            <a:rPr lang="en-IE" sz="1100" b="0">
              <a:solidFill>
                <a:schemeClr val="dk1"/>
              </a:solidFill>
              <a:effectLst/>
              <a:latin typeface="+mn-lt"/>
              <a:ea typeface="+mn-ea"/>
              <a:cs typeface="+mn-cs"/>
            </a:rPr>
            <a:t>eluctant </a:t>
          </a:r>
          <a:r>
            <a:rPr lang="en-IE" sz="1100">
              <a:solidFill>
                <a:schemeClr val="dk1"/>
              </a:solidFill>
              <a:effectLst/>
              <a:latin typeface="+mn-lt"/>
              <a:ea typeface="+mn-ea"/>
              <a:cs typeface="+mn-cs"/>
            </a:rPr>
            <a:t>to take action out of fear of making a poor decision.</a:t>
          </a:r>
          <a:r>
            <a:rPr lang="en-IE" sz="1100" baseline="0">
              <a:solidFill>
                <a:schemeClr val="dk1"/>
              </a:solidFill>
              <a:effectLst/>
              <a:latin typeface="+mn-lt"/>
              <a:ea typeface="+mn-ea"/>
              <a:cs typeface="+mn-cs"/>
            </a:rPr>
            <a:t> </a:t>
          </a:r>
          <a:r>
            <a:rPr lang="en-IE" sz="1100">
              <a:solidFill>
                <a:schemeClr val="dk1"/>
              </a:solidFill>
              <a:effectLst/>
              <a:latin typeface="+mn-lt"/>
              <a:ea typeface="+mn-ea"/>
              <a:cs typeface="+mn-cs"/>
            </a:rPr>
            <a:t>I will read more on macroeconomics and follow the news more in order to build</a:t>
          </a:r>
          <a:r>
            <a:rPr lang="en-IE" sz="1100" baseline="0">
              <a:solidFill>
                <a:schemeClr val="dk1"/>
              </a:solidFill>
              <a:effectLst/>
              <a:latin typeface="+mn-lt"/>
              <a:ea typeface="+mn-ea"/>
              <a:cs typeface="+mn-cs"/>
            </a:rPr>
            <a:t> a better intuition to guide my decisions. As described I review my allocation quarterly, and seek feedback annually.</a:t>
          </a:r>
          <a:endParaRPr lang="en-IE"/>
        </a:p>
        <a:p>
          <a:pPr marL="0" marR="0" lvl="0" indent="0" defTabSz="914400" eaLnBrk="1" fontAlgn="auto" latinLnBrk="0" hangingPunct="1">
            <a:lnSpc>
              <a:spcPct val="100000"/>
            </a:lnSpc>
            <a:spcBef>
              <a:spcPts val="0"/>
            </a:spcBef>
            <a:spcAft>
              <a:spcPts val="0"/>
            </a:spcAft>
            <a:buClrTx/>
            <a:buSzTx/>
            <a:buFontTx/>
            <a:buNone/>
            <a:tabLst/>
            <a:defRPr/>
          </a:pPr>
          <a:r>
            <a:rPr lang="en-US" sz="1100"/>
            <a:t>3) </a:t>
          </a:r>
          <a:r>
            <a:rPr lang="en-IE" sz="1100" b="1">
              <a:solidFill>
                <a:schemeClr val="dk1"/>
              </a:solidFill>
              <a:effectLst/>
              <a:latin typeface="+mn-lt"/>
              <a:ea typeface="+mn-ea"/>
              <a:cs typeface="+mn-cs"/>
            </a:rPr>
            <a:t>Anchoring-  </a:t>
          </a:r>
          <a:r>
            <a:rPr lang="en-IE" sz="1100" b="0">
              <a:solidFill>
                <a:schemeClr val="dk1"/>
              </a:solidFill>
              <a:effectLst/>
              <a:latin typeface="+mn-lt"/>
              <a:ea typeface="+mn-ea"/>
              <a:cs typeface="+mn-cs"/>
            </a:rPr>
            <a:t>I r</a:t>
          </a:r>
          <a:r>
            <a:rPr lang="en-IE" sz="1100" b="0" i="0" u="none" strike="noStrike">
              <a:solidFill>
                <a:schemeClr val="dk1"/>
              </a:solidFill>
              <a:effectLst/>
              <a:latin typeface="+mn-lt"/>
              <a:ea typeface="+mn-ea"/>
              <a:cs typeface="+mn-cs"/>
            </a:rPr>
            <a:t>ely too much on pre-existing information or the first information I find when making decisions. Increasing knowledge through research</a:t>
          </a:r>
          <a:r>
            <a:rPr lang="en-IE" sz="1100" b="0" i="0" u="none" strike="noStrike" baseline="0">
              <a:solidFill>
                <a:schemeClr val="dk1"/>
              </a:solidFill>
              <a:effectLst/>
              <a:latin typeface="+mn-lt"/>
              <a:ea typeface="+mn-ea"/>
              <a:cs typeface="+mn-cs"/>
            </a:rPr>
            <a:t> will help and avoid rushed decisions.</a:t>
          </a:r>
          <a:endParaRPr lang="en-IE" b="1"/>
        </a:p>
        <a:p>
          <a:endParaRPr lang="en-US" sz="1100"/>
        </a:p>
      </xdr:txBody>
    </xdr:sp>
    <xdr:clientData fLocksWithSheet="0"/>
  </xdr:twoCellAnchor>
  <xdr:twoCellAnchor>
    <xdr:from>
      <xdr:col>9</xdr:col>
      <xdr:colOff>600075</xdr:colOff>
      <xdr:row>3</xdr:row>
      <xdr:rowOff>47625</xdr:rowOff>
    </xdr:from>
    <xdr:to>
      <xdr:col>10</xdr:col>
      <xdr:colOff>419100</xdr:colOff>
      <xdr:row>3</xdr:row>
      <xdr:rowOff>247650</xdr:rowOff>
    </xdr:to>
    <xdr:sp macro="" textlink="'Price Inputs'!J4">
      <xdr:nvSpPr>
        <xdr:cNvPr id="17" name="TextBox 16">
          <a:extLst>
            <a:ext uri="{FF2B5EF4-FFF2-40B4-BE49-F238E27FC236}">
              <a16:creationId xmlns:a16="http://schemas.microsoft.com/office/drawing/2014/main" id="{00000000-0008-0000-0100-000011000000}"/>
            </a:ext>
          </a:extLst>
        </xdr:cNvPr>
        <xdr:cNvSpPr txBox="1"/>
      </xdr:nvSpPr>
      <xdr:spPr>
        <a:xfrm>
          <a:off x="8153400" y="619125"/>
          <a:ext cx="7429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2FC8D331-8A49-4C29-8305-2E6E0D0619EE}" type="TxLink">
            <a:rPr lang="en-US" sz="900" b="0" i="0" u="none" strike="noStrike">
              <a:solidFill>
                <a:srgbClr val="000000"/>
              </a:solidFill>
              <a:latin typeface="Calibri"/>
            </a:rPr>
            <a:pPr algn="r"/>
            <a:t>4/9/2021</a:t>
          </a:fld>
          <a:endParaRPr lang="en-US" sz="900"/>
        </a:p>
      </xdr:txBody>
    </xdr:sp>
    <xdr:clientData/>
  </xdr:twoCellAnchor>
  <xdr:twoCellAnchor>
    <xdr:from>
      <xdr:col>9</xdr:col>
      <xdr:colOff>542924</xdr:colOff>
      <xdr:row>3</xdr:row>
      <xdr:rowOff>19050</xdr:rowOff>
    </xdr:from>
    <xdr:to>
      <xdr:col>9</xdr:col>
      <xdr:colOff>781050</xdr:colOff>
      <xdr:row>3</xdr:row>
      <xdr:rowOff>171450</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8096249" y="590550"/>
          <a:ext cx="238126" cy="152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a:t>
          </a:r>
        </a:p>
      </xdr:txBody>
    </xdr:sp>
    <xdr:clientData/>
  </xdr:twoCellAnchor>
  <xdr:twoCellAnchor>
    <xdr:from>
      <xdr:col>8</xdr:col>
      <xdr:colOff>1123950</xdr:colOff>
      <xdr:row>3</xdr:row>
      <xdr:rowOff>47625</xdr:rowOff>
    </xdr:from>
    <xdr:to>
      <xdr:col>9</xdr:col>
      <xdr:colOff>666750</xdr:colOff>
      <xdr:row>3</xdr:row>
      <xdr:rowOff>314325</xdr:rowOff>
    </xdr:to>
    <xdr:sp macro="" textlink="'Policy Portfolio'!F13">
      <xdr:nvSpPr>
        <xdr:cNvPr id="2" name="TextBox 1">
          <a:extLst>
            <a:ext uri="{FF2B5EF4-FFF2-40B4-BE49-F238E27FC236}">
              <a16:creationId xmlns:a16="http://schemas.microsoft.com/office/drawing/2014/main" id="{00000000-0008-0000-0100-000002000000}"/>
            </a:ext>
          </a:extLst>
        </xdr:cNvPr>
        <xdr:cNvSpPr txBox="1"/>
      </xdr:nvSpPr>
      <xdr:spPr>
        <a:xfrm>
          <a:off x="7324725" y="619125"/>
          <a:ext cx="8953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C8B6549-A4BA-4923-8AC0-B97635E41A8C}" type="TxLink">
            <a:rPr lang="en-US" sz="900" b="0" i="0" u="none" strike="noStrike">
              <a:solidFill>
                <a:sysClr val="windowText" lastClr="000000"/>
              </a:solidFill>
              <a:latin typeface="Calibri"/>
            </a:rPr>
            <a:pPr algn="r"/>
            <a:t>3/8/2021</a:t>
          </a:fld>
          <a:endParaRPr lang="en-US" sz="900">
            <a:solidFill>
              <a:sysClr val="windowText" lastClr="000000"/>
            </a:solidFill>
          </a:endParaRPr>
        </a:p>
      </xdr:txBody>
    </xdr:sp>
    <xdr:clientData/>
  </xdr:twoCellAnchor>
  <xdr:twoCellAnchor editAs="oneCell">
    <xdr:from>
      <xdr:col>6</xdr:col>
      <xdr:colOff>423332</xdr:colOff>
      <xdr:row>3</xdr:row>
      <xdr:rowOff>127000</xdr:rowOff>
    </xdr:from>
    <xdr:to>
      <xdr:col>8</xdr:col>
      <xdr:colOff>817456</xdr:colOff>
      <xdr:row>3</xdr:row>
      <xdr:rowOff>699237</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3"/>
        <a:stretch>
          <a:fillRect/>
        </a:stretch>
      </xdr:blipFill>
      <xdr:spPr>
        <a:xfrm>
          <a:off x="5492749" y="698500"/>
          <a:ext cx="1463040" cy="572237"/>
        </a:xfrm>
        <a:prstGeom prst="rect">
          <a:avLst/>
        </a:prstGeom>
      </xdr:spPr>
    </xdr:pic>
    <xdr:clientData/>
  </xdr:twoCellAnchor>
  <xdr:twoCellAnchor editAs="oneCell">
    <xdr:from>
      <xdr:col>13</xdr:col>
      <xdr:colOff>0</xdr:colOff>
      <xdr:row>3</xdr:row>
      <xdr:rowOff>52916</xdr:rowOff>
    </xdr:from>
    <xdr:to>
      <xdr:col>15</xdr:col>
      <xdr:colOff>179238</xdr:colOff>
      <xdr:row>3</xdr:row>
      <xdr:rowOff>744631</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
        <a:stretch>
          <a:fillRect/>
        </a:stretch>
      </xdr:blipFill>
      <xdr:spPr>
        <a:xfrm>
          <a:off x="10414000" y="624416"/>
          <a:ext cx="1988988" cy="691715"/>
        </a:xfrm>
        <a:prstGeom prst="rect">
          <a:avLst/>
        </a:prstGeom>
      </xdr:spPr>
    </xdr:pic>
    <xdr:clientData/>
  </xdr:twoCellAnchor>
  <xdr:twoCellAnchor editAs="oneCell">
    <xdr:from>
      <xdr:col>16</xdr:col>
      <xdr:colOff>16931</xdr:colOff>
      <xdr:row>3</xdr:row>
      <xdr:rowOff>110689</xdr:rowOff>
    </xdr:from>
    <xdr:to>
      <xdr:col>17</xdr:col>
      <xdr:colOff>961387</xdr:colOff>
      <xdr:row>3</xdr:row>
      <xdr:rowOff>682926</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
        <a:stretch>
          <a:fillRect/>
        </a:stretch>
      </xdr:blipFill>
      <xdr:spPr>
        <a:xfrm>
          <a:off x="12727514" y="682189"/>
          <a:ext cx="1463040" cy="572237"/>
        </a:xfrm>
        <a:prstGeom prst="rect">
          <a:avLst/>
        </a:prstGeom>
      </xdr:spPr>
    </xdr:pic>
    <xdr:clientData/>
  </xdr:twoCellAnchor>
  <xdr:twoCellAnchor editAs="oneCell">
    <xdr:from>
      <xdr:col>22</xdr:col>
      <xdr:colOff>920754</xdr:colOff>
      <xdr:row>3</xdr:row>
      <xdr:rowOff>52916</xdr:rowOff>
    </xdr:from>
    <xdr:to>
      <xdr:col>24</xdr:col>
      <xdr:colOff>496742</xdr:colOff>
      <xdr:row>3</xdr:row>
      <xdr:rowOff>744631</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
        <a:stretch>
          <a:fillRect/>
        </a:stretch>
      </xdr:blipFill>
      <xdr:spPr>
        <a:xfrm>
          <a:off x="17959921" y="624416"/>
          <a:ext cx="1988988" cy="691715"/>
        </a:xfrm>
        <a:prstGeom prst="rect">
          <a:avLst/>
        </a:prstGeom>
      </xdr:spPr>
    </xdr:pic>
    <xdr:clientData/>
  </xdr:twoCellAnchor>
  <xdr:twoCellAnchor editAs="oneCell">
    <xdr:from>
      <xdr:col>25</xdr:col>
      <xdr:colOff>112185</xdr:colOff>
      <xdr:row>3</xdr:row>
      <xdr:rowOff>110689</xdr:rowOff>
    </xdr:from>
    <xdr:to>
      <xdr:col>27</xdr:col>
      <xdr:colOff>135891</xdr:colOff>
      <xdr:row>3</xdr:row>
      <xdr:rowOff>682926</xdr:rowOff>
    </xdr:to>
    <xdr:pic>
      <xdr:nvPicPr>
        <xdr:cNvPr id="25" name="Picture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3"/>
        <a:stretch>
          <a:fillRect/>
        </a:stretch>
      </xdr:blipFill>
      <xdr:spPr>
        <a:xfrm>
          <a:off x="20284018" y="682189"/>
          <a:ext cx="1463040" cy="572237"/>
        </a:xfrm>
        <a:prstGeom prst="rect">
          <a:avLst/>
        </a:prstGeom>
      </xdr:spPr>
    </xdr:pic>
    <xdr:clientData/>
  </xdr:twoCellAnchor>
  <xdr:twoCellAnchor>
    <xdr:from>
      <xdr:col>2</xdr:col>
      <xdr:colOff>34924</xdr:colOff>
      <xdr:row>11</xdr:row>
      <xdr:rowOff>0</xdr:rowOff>
    </xdr:from>
    <xdr:to>
      <xdr:col>7</xdr:col>
      <xdr:colOff>43294</xdr:colOff>
      <xdr:row>15</xdr:row>
      <xdr:rowOff>180975</xdr:rowOff>
    </xdr:to>
    <xdr:sp macro="" textlink="" fLocksText="0">
      <xdr:nvSpPr>
        <xdr:cNvPr id="29" name="TextBox 28">
          <a:extLst>
            <a:ext uri="{FF2B5EF4-FFF2-40B4-BE49-F238E27FC236}">
              <a16:creationId xmlns:a16="http://schemas.microsoft.com/office/drawing/2014/main" id="{00000000-0008-0000-0100-00001D000000}"/>
            </a:ext>
          </a:extLst>
        </xdr:cNvPr>
        <xdr:cNvSpPr txBox="1"/>
      </xdr:nvSpPr>
      <xdr:spPr>
        <a:xfrm>
          <a:off x="1853333" y="2987386"/>
          <a:ext cx="4871893" cy="974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No liquidity needs</a:t>
          </a:r>
        </a:p>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15 year</a:t>
          </a:r>
          <a:r>
            <a:rPr lang="en-US" sz="1100" baseline="0">
              <a:effectLst/>
            </a:rPr>
            <a:t> time horizon</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No preference on investment classes.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No legal or tax concerns.</a:t>
          </a:r>
          <a:endParaRPr lang="en-US" sz="1100">
            <a:effectLst/>
          </a:endParaRPr>
        </a:p>
      </xdr:txBody>
    </xdr:sp>
    <xdr:clientData fLocksWithSheet="0"/>
  </xdr:twoCellAnchor>
  <xdr:absoluteAnchor>
    <xdr:pos x="6781800" y="1892300"/>
    <xdr:ext cx="3073400" cy="2061029"/>
    <xdr:graphicFrame macro="">
      <xdr:nvGraphicFramePr>
        <xdr:cNvPr id="20" name="Chart 19">
          <a:extLst>
            <a:ext uri="{FF2B5EF4-FFF2-40B4-BE49-F238E27FC236}">
              <a16:creationId xmlns:a16="http://schemas.microsoft.com/office/drawing/2014/main" id="{85791253-FDE4-EC49-8308-F5953DBD899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2</xdr:col>
      <xdr:colOff>25400</xdr:colOff>
      <xdr:row>38</xdr:row>
      <xdr:rowOff>12700</xdr:rowOff>
    </xdr:from>
    <xdr:to>
      <xdr:col>5</xdr:col>
      <xdr:colOff>511370</xdr:colOff>
      <xdr:row>50</xdr:row>
      <xdr:rowOff>136779</xdr:rowOff>
    </xdr:to>
    <xdr:pic>
      <xdr:nvPicPr>
        <xdr:cNvPr id="6" name="Picture 5">
          <a:extLst>
            <a:ext uri="{FF2B5EF4-FFF2-40B4-BE49-F238E27FC236}">
              <a16:creationId xmlns:a16="http://schemas.microsoft.com/office/drawing/2014/main" id="{7CC5ACD4-40F5-AA40-BD9B-2B911051817B}"/>
            </a:ext>
          </a:extLst>
        </xdr:cNvPr>
        <xdr:cNvPicPr>
          <a:picLocks noChangeAspect="1"/>
        </xdr:cNvPicPr>
      </xdr:nvPicPr>
      <xdr:blipFill>
        <a:blip xmlns:r="http://schemas.openxmlformats.org/officeDocument/2006/relationships" r:embed="rId5"/>
        <a:stretch>
          <a:fillRect/>
        </a:stretch>
      </xdr:blipFill>
      <xdr:spPr>
        <a:xfrm>
          <a:off x="1841500" y="8470900"/>
          <a:ext cx="3673670" cy="2549779"/>
        </a:xfrm>
        <a:prstGeom prst="rect">
          <a:avLst/>
        </a:prstGeom>
      </xdr:spPr>
    </xdr:pic>
    <xdr:clientData/>
  </xdr:twoCellAnchor>
  <xdr:twoCellAnchor editAs="oneCell">
    <xdr:from>
      <xdr:col>5</xdr:col>
      <xdr:colOff>548409</xdr:colOff>
      <xdr:row>38</xdr:row>
      <xdr:rowOff>28864</xdr:rowOff>
    </xdr:from>
    <xdr:to>
      <xdr:col>10</xdr:col>
      <xdr:colOff>358517</xdr:colOff>
      <xdr:row>49</xdr:row>
      <xdr:rowOff>141112</xdr:rowOff>
    </xdr:to>
    <xdr:pic>
      <xdr:nvPicPr>
        <xdr:cNvPr id="15" name="Picture 14">
          <a:extLst>
            <a:ext uri="{FF2B5EF4-FFF2-40B4-BE49-F238E27FC236}">
              <a16:creationId xmlns:a16="http://schemas.microsoft.com/office/drawing/2014/main" id="{8259BA76-1F7C-BB4C-8A44-CD2BDB118C0E}"/>
            </a:ext>
          </a:extLst>
        </xdr:cNvPr>
        <xdr:cNvPicPr>
          <a:picLocks noChangeAspect="1"/>
        </xdr:cNvPicPr>
      </xdr:nvPicPr>
      <xdr:blipFill>
        <a:blip xmlns:r="http://schemas.openxmlformats.org/officeDocument/2006/relationships" r:embed="rId6"/>
        <a:stretch>
          <a:fillRect/>
        </a:stretch>
      </xdr:blipFill>
      <xdr:spPr>
        <a:xfrm>
          <a:off x="5556250" y="8428182"/>
          <a:ext cx="4168517" cy="2320316"/>
        </a:xfrm>
        <a:prstGeom prst="rect">
          <a:avLst/>
        </a:prstGeom>
      </xdr:spPr>
    </xdr:pic>
    <xdr:clientData/>
  </xdr:twoCellAnchor>
  <xdr:absoluteAnchor>
    <xdr:pos x="6667500" y="5729432"/>
    <xdr:ext cx="3189431" cy="2259034"/>
    <xdr:graphicFrame macro="">
      <xdr:nvGraphicFramePr>
        <xdr:cNvPr id="26" name="Chart 25">
          <a:extLst>
            <a:ext uri="{FF2B5EF4-FFF2-40B4-BE49-F238E27FC236}">
              <a16:creationId xmlns:a16="http://schemas.microsoft.com/office/drawing/2014/main" id="{54363437-3983-0E4C-B440-B6E09888ADC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3</xdr:col>
      <xdr:colOff>21771</xdr:colOff>
      <xdr:row>2</xdr:row>
      <xdr:rowOff>4947</xdr:rowOff>
    </xdr:from>
    <xdr:to>
      <xdr:col>8</xdr:col>
      <xdr:colOff>1698170</xdr:colOff>
      <xdr:row>8</xdr:row>
      <xdr:rowOff>166255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45226" y="482929"/>
          <a:ext cx="9628908" cy="12419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Instructions:</a:t>
          </a:r>
        </a:p>
        <a:p>
          <a:pPr lvl="1"/>
          <a:r>
            <a:rPr lang="en-US" sz="1100">
              <a:solidFill>
                <a:schemeClr val="tx1"/>
              </a:solidFill>
            </a:rPr>
            <a:t>1) Beginning in Cell E21, select the Asset Class </a:t>
          </a:r>
          <a:r>
            <a:rPr lang="en-US" sz="1100" baseline="0">
              <a:solidFill>
                <a:schemeClr val="tx1"/>
              </a:solidFill>
            </a:rPr>
            <a:t> - </a:t>
          </a:r>
          <a:r>
            <a:rPr lang="en-US" sz="1100">
              <a:solidFill>
                <a:schemeClr val="tx1"/>
              </a:solidFill>
            </a:rPr>
            <a:t>(Cash,</a:t>
          </a:r>
          <a:r>
            <a:rPr lang="en-US" sz="1100" baseline="0">
              <a:solidFill>
                <a:schemeClr val="tx1"/>
              </a:solidFill>
            </a:rPr>
            <a:t> US Equity, Intl Equity, Bonds, Alternatives)</a:t>
          </a:r>
        </a:p>
        <a:p>
          <a:pPr lvl="1"/>
          <a:r>
            <a:rPr lang="en-US" sz="1100" baseline="0">
              <a:solidFill>
                <a:schemeClr val="tx1"/>
              </a:solidFill>
            </a:rPr>
            <a:t>2) Cash default is 1% to allow for liquidity in trading.  You may increase the cash allocation if you need more liquidity (Cell G20)</a:t>
          </a:r>
        </a:p>
        <a:p>
          <a:pPr lvl="1"/>
          <a:r>
            <a:rPr lang="en-US" sz="1100" baseline="0">
              <a:solidFill>
                <a:schemeClr val="tx1"/>
              </a:solidFill>
            </a:rPr>
            <a:t>3) Chose the Category within the Asset Class</a:t>
          </a:r>
        </a:p>
        <a:p>
          <a:pPr lvl="1"/>
          <a:r>
            <a:rPr lang="en-US" sz="1100" baseline="0">
              <a:solidFill>
                <a:schemeClr val="tx1"/>
              </a:solidFill>
            </a:rPr>
            <a:t>4) Typed target weight for each Asset Class and Category</a:t>
          </a:r>
        </a:p>
        <a:p>
          <a:pPr lvl="1"/>
          <a:r>
            <a:rPr lang="en-US" sz="1100" baseline="0">
              <a:solidFill>
                <a:schemeClr val="tx1"/>
              </a:solidFill>
            </a:rPr>
            <a:t>5) If you want to edit selection, delete all the input data in the row and re-enter</a:t>
          </a:r>
          <a:endParaRPr lang="en-US" sz="1100">
            <a:solidFill>
              <a:schemeClr val="tx1"/>
            </a:solidFill>
          </a:endParaRPr>
        </a:p>
      </xdr:txBody>
    </xdr:sp>
    <xdr:clientData/>
  </xdr:twoCellAnchor>
  <xdr:absoluteAnchor>
    <xdr:pos x="13369359" y="3235437"/>
    <xdr:ext cx="4321630" cy="3254829"/>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6</xdr:col>
      <xdr:colOff>885826</xdr:colOff>
      <xdr:row>10</xdr:row>
      <xdr:rowOff>9525</xdr:rowOff>
    </xdr:from>
    <xdr:to>
      <xdr:col>8</xdr:col>
      <xdr:colOff>1057275</xdr:colOff>
      <xdr:row>13</xdr:row>
      <xdr:rowOff>117764</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181726" y="1962150"/>
          <a:ext cx="3228974" cy="679739"/>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enter the Monday starting</a:t>
          </a:r>
          <a:r>
            <a:rPr lang="en-US" sz="1100" baseline="0"/>
            <a:t> Module 1 - Format (MM/DD/YYYY). If your Excel is not set up for US date format, please see instructions to the right.</a:t>
          </a:r>
          <a:endParaRPr lang="en-US" sz="1100"/>
        </a:p>
        <a:p>
          <a:endParaRPr lang="en-US" sz="1100"/>
        </a:p>
      </xdr:txBody>
    </xdr:sp>
    <xdr:clientData/>
  </xdr:twoCellAnchor>
  <xdr:twoCellAnchor>
    <xdr:from>
      <xdr:col>6</xdr:col>
      <xdr:colOff>1</xdr:colOff>
      <xdr:row>12</xdr:row>
      <xdr:rowOff>28575</xdr:rowOff>
    </xdr:from>
    <xdr:to>
      <xdr:col>6</xdr:col>
      <xdr:colOff>866775</xdr:colOff>
      <xdr:row>12</xdr:row>
      <xdr:rowOff>28575</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flipH="1">
          <a:off x="5295901" y="2419350"/>
          <a:ext cx="866774"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886690</xdr:colOff>
      <xdr:row>14</xdr:row>
      <xdr:rowOff>41563</xdr:rowOff>
    </xdr:from>
    <xdr:to>
      <xdr:col>7</xdr:col>
      <xdr:colOff>210414</xdr:colOff>
      <xdr:row>17</xdr:row>
      <xdr:rowOff>149802</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6324599" y="2680854"/>
          <a:ext cx="1699779" cy="64856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Cash is automatically set to 1%, but the</a:t>
          </a:r>
          <a:r>
            <a:rPr lang="en-US" sz="1100" baseline="0"/>
            <a:t> cell is changeable.</a:t>
          </a:r>
          <a:endParaRPr lang="en-US" sz="1100"/>
        </a:p>
        <a:p>
          <a:endParaRPr lang="en-US" sz="1100"/>
        </a:p>
      </xdr:txBody>
    </xdr:sp>
    <xdr:clientData/>
  </xdr:twoCellAnchor>
  <xdr:twoCellAnchor>
    <xdr:from>
      <xdr:col>6</xdr:col>
      <xdr:colOff>1406236</xdr:colOff>
      <xdr:row>17</xdr:row>
      <xdr:rowOff>135947</xdr:rowOff>
    </xdr:from>
    <xdr:to>
      <xdr:col>6</xdr:col>
      <xdr:colOff>1715799</xdr:colOff>
      <xdr:row>19</xdr:row>
      <xdr:rowOff>90055</xdr:rowOff>
    </xdr:to>
    <xdr:cxnSp macro="">
      <xdr:nvCxnSpPr>
        <xdr:cNvPr id="7" name="Straight Arrow Connector 6">
          <a:extLst>
            <a:ext uri="{FF2B5EF4-FFF2-40B4-BE49-F238E27FC236}">
              <a16:creationId xmlns:a16="http://schemas.microsoft.com/office/drawing/2014/main" id="{00000000-0008-0000-0200-000007000000}"/>
            </a:ext>
          </a:extLst>
        </xdr:cNvPr>
        <xdr:cNvCxnSpPr/>
      </xdr:nvCxnSpPr>
      <xdr:spPr>
        <a:xfrm flipH="1">
          <a:off x="6844145" y="3315565"/>
          <a:ext cx="309563" cy="41823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47625</xdr:colOff>
      <xdr:row>10</xdr:row>
      <xdr:rowOff>85725</xdr:rowOff>
    </xdr:from>
    <xdr:to>
      <xdr:col>21</xdr:col>
      <xdr:colOff>581025</xdr:colOff>
      <xdr:row>47</xdr:row>
      <xdr:rowOff>59531</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16502063" y="2038350"/>
          <a:ext cx="6426993" cy="71294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Switching</a:t>
          </a:r>
          <a:r>
            <a:rPr lang="en-US" sz="1100" b="1" baseline="0">
              <a:solidFill>
                <a:schemeClr val="dk1"/>
              </a:solidFill>
              <a:effectLst/>
              <a:latin typeface="+mn-lt"/>
              <a:ea typeface="+mn-ea"/>
              <a:cs typeface="+mn-cs"/>
            </a:rPr>
            <a:t> to US Date Format</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You need to use a US date format </a:t>
          </a:r>
          <a:r>
            <a:rPr lang="en-US" sz="1100" baseline="0">
              <a:solidFill>
                <a:schemeClr val="dk1"/>
              </a:solidFill>
              <a:effectLst/>
              <a:latin typeface="+mn-lt"/>
              <a:ea typeface="+mn-ea"/>
              <a:cs typeface="+mn-cs"/>
            </a:rPr>
            <a:t>(MM/DD/YYYY) </a:t>
          </a:r>
          <a:r>
            <a:rPr lang="en-US" sz="1100">
              <a:solidFill>
                <a:schemeClr val="dk1"/>
              </a:solidFill>
              <a:effectLst/>
              <a:latin typeface="+mn-lt"/>
              <a:ea typeface="+mn-ea"/>
              <a:cs typeface="+mn-cs"/>
            </a:rPr>
            <a:t>in Policy Portfolio worksheet cell F13 for</a:t>
          </a:r>
          <a:r>
            <a:rPr lang="en-US" sz="1100" baseline="0">
              <a:solidFill>
                <a:schemeClr val="dk1"/>
              </a:solidFill>
              <a:effectLst/>
              <a:latin typeface="+mn-lt"/>
              <a:ea typeface="+mn-ea"/>
              <a:cs typeface="+mn-cs"/>
            </a:rPr>
            <a:t> SIMS to work properly</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change date</a:t>
          </a:r>
          <a:r>
            <a:rPr lang="en-US" sz="1100" baseline="0">
              <a:solidFill>
                <a:schemeClr val="dk1"/>
              </a:solidFill>
              <a:effectLst/>
              <a:latin typeface="+mn-lt"/>
              <a:ea typeface="+mn-ea"/>
              <a:cs typeface="+mn-cs"/>
            </a:rPr>
            <a:t> format, </a:t>
          </a:r>
          <a:r>
            <a:rPr lang="en-US" sz="1100">
              <a:solidFill>
                <a:schemeClr val="dk1"/>
              </a:solidFill>
              <a:effectLst/>
              <a:latin typeface="+mn-lt"/>
              <a:ea typeface="+mn-ea"/>
              <a:cs typeface="+mn-cs"/>
            </a:rPr>
            <a:t>first unprotect Policy Portfolio Worksheet</a:t>
          </a:r>
          <a:r>
            <a:rPr lang="en-US" sz="1100" baseline="0">
              <a:solidFill>
                <a:schemeClr val="dk1"/>
              </a:solidFill>
              <a:effectLst/>
              <a:latin typeface="+mn-lt"/>
              <a:ea typeface="+mn-ea"/>
              <a:cs typeface="+mn-cs"/>
            </a:rPr>
            <a:t> (no password is needed). </a:t>
          </a:r>
          <a:r>
            <a:rPr lang="en-US" sz="1100">
              <a:solidFill>
                <a:schemeClr val="dk1"/>
              </a:solidFill>
              <a:effectLst/>
              <a:latin typeface="+mn-lt"/>
              <a:ea typeface="+mn-ea"/>
              <a:cs typeface="+mn-cs"/>
            </a:rPr>
            <a:t>Then click on cell F13. In the Home tab, select Number, then "Date" (under Category), then under "Locale" scroll to "English (United States)",</a:t>
          </a:r>
          <a:r>
            <a:rPr lang="en-US" sz="1100" baseline="0">
              <a:solidFill>
                <a:schemeClr val="dk1"/>
              </a:solidFill>
              <a:effectLst/>
              <a:latin typeface="+mn-lt"/>
              <a:ea typeface="+mn-ea"/>
              <a:cs typeface="+mn-cs"/>
            </a:rPr>
            <a:t> and f</a:t>
          </a:r>
          <a:r>
            <a:rPr lang="en-US" sz="1100">
              <a:solidFill>
                <a:schemeClr val="dk1"/>
              </a:solidFill>
              <a:effectLst/>
              <a:latin typeface="+mn-lt"/>
              <a:ea typeface="+mn-ea"/>
              <a:cs typeface="+mn-cs"/>
            </a:rPr>
            <a:t>inally under "Type" select "3/14/2012" or "03/14/2012", and hit "OK". Then put in your start date in US format - MM/DD/YYYY. So for instance,</a:t>
          </a:r>
          <a:r>
            <a:rPr lang="en-US" sz="1100" baseline="0">
              <a:solidFill>
                <a:schemeClr val="dk1"/>
              </a:solidFill>
              <a:effectLst/>
              <a:latin typeface="+mn-lt"/>
              <a:ea typeface="+mn-ea"/>
              <a:cs typeface="+mn-cs"/>
            </a:rPr>
            <a:t> April 10, 2017 should appear as</a:t>
          </a:r>
          <a:r>
            <a:rPr lang="en-US" sz="1100">
              <a:solidFill>
                <a:schemeClr val="dk1"/>
              </a:solidFill>
              <a:effectLst/>
              <a:latin typeface="+mn-lt"/>
              <a:ea typeface="+mn-ea"/>
              <a:cs typeface="+mn-cs"/>
            </a:rPr>
            <a:t> 04/10/2017. Below is a picture of this process.</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 that is done, go to the Price Inputs sheet to make sure your dates flow through (e4-j4 and e18-j18). Also, the</a:t>
          </a:r>
          <a:r>
            <a:rPr lang="en-US" sz="1100" baseline="0">
              <a:solidFill>
                <a:schemeClr val="dk1"/>
              </a:solidFill>
              <a:effectLst/>
              <a:latin typeface="+mn-lt"/>
              <a:ea typeface="+mn-ea"/>
              <a:cs typeface="+mn-cs"/>
            </a:rPr>
            <a:t> Friday before the Capstone started </a:t>
          </a:r>
          <a:r>
            <a:rPr lang="en-US" sz="1100">
              <a:solidFill>
                <a:schemeClr val="dk1"/>
              </a:solidFill>
              <a:effectLst/>
              <a:latin typeface="+mn-lt"/>
              <a:ea typeface="+mn-ea"/>
              <a:cs typeface="+mn-cs"/>
            </a:rPr>
            <a:t>should appear in the date fields in the Policy Portfolio "Trades" worksheet (k9 - k11) as SIMS automatically assumes the assets in the Policy Portfolio were purchased on the Friday</a:t>
          </a:r>
          <a:r>
            <a:rPr lang="en-US" sz="1100" baseline="0">
              <a:solidFill>
                <a:schemeClr val="dk1"/>
              </a:solidFill>
              <a:effectLst/>
              <a:latin typeface="+mn-lt"/>
              <a:ea typeface="+mn-ea"/>
              <a:cs typeface="+mn-cs"/>
            </a:rPr>
            <a:t> before the simulation started.</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a:t>
          </a:r>
          <a:r>
            <a:rPr lang="en-US" sz="1100" baseline="0">
              <a:solidFill>
                <a:schemeClr val="dk1"/>
              </a:solidFill>
              <a:effectLst/>
              <a:latin typeface="+mn-lt"/>
              <a:ea typeface="+mn-ea"/>
              <a:cs typeface="+mn-cs"/>
            </a:rPr>
            <a:t> this step is concluded and checked, I recommend you again protect the worksheet.</a:t>
          </a:r>
          <a:endParaRPr lang="en-US" sz="1100">
            <a:solidFill>
              <a:schemeClr val="dk1"/>
            </a:solidFill>
            <a:effectLst/>
            <a:latin typeface="+mn-lt"/>
            <a:ea typeface="+mn-ea"/>
            <a:cs typeface="+mn-cs"/>
          </a:endParaRPr>
        </a:p>
        <a:p>
          <a:endParaRPr lang="en-US" sz="1100"/>
        </a:p>
      </xdr:txBody>
    </xdr:sp>
    <xdr:clientData/>
  </xdr:twoCellAnchor>
  <xdr:twoCellAnchor>
    <xdr:from>
      <xdr:col>17</xdr:col>
      <xdr:colOff>371475</xdr:colOff>
      <xdr:row>18</xdr:row>
      <xdr:rowOff>2379</xdr:rowOff>
    </xdr:from>
    <xdr:to>
      <xdr:col>21</xdr:col>
      <xdr:colOff>3396</xdr:colOff>
      <xdr:row>39</xdr:row>
      <xdr:rowOff>188117</xdr:rowOff>
    </xdr:to>
    <xdr:pic>
      <xdr:nvPicPr>
        <xdr:cNvPr id="11" name="m_-3500015952832232670Picture 1" descr="https://d3c33hcgiwev3.cloudfront.net/imageAssetProxy.v1/fGhhwzUvEee84g4ec0AXCg_cb6c1b42b39c78b4c5f0620121b8f9d8_Changing-Date-Locale-in-Excel.PNG?expiry=1494806400000&amp;hmac=a7xyyuLF5GCDt1CfMIPoD7umCT8Sas-MoASXEvtASMI">
          <a:extLst>
            <a:ext uri="{FF2B5EF4-FFF2-40B4-BE49-F238E27FC236}">
              <a16:creationId xmlns:a16="http://schemas.microsoft.com/office/drawing/2014/main" id="{00000000-0008-0000-0200-00000B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78"/>
        <a:stretch/>
      </xdr:blipFill>
      <xdr:spPr bwMode="auto">
        <a:xfrm>
          <a:off x="17564100" y="3550442"/>
          <a:ext cx="4787327" cy="42219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266701</xdr:colOff>
      <xdr:row>4</xdr:row>
      <xdr:rowOff>94706</xdr:rowOff>
    </xdr:from>
    <xdr:to>
      <xdr:col>8</xdr:col>
      <xdr:colOff>807721</xdr:colOff>
      <xdr:row>6</xdr:row>
      <xdr:rowOff>143933</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24501" y="1051439"/>
          <a:ext cx="3817620" cy="464094"/>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(L8).</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Example:</a:t>
          </a:r>
          <a:r>
            <a:rPr lang="en-US" sz="1100" baseline="0">
              <a:solidFill>
                <a:schemeClr val="dk1"/>
              </a:solidFill>
              <a:effectLst/>
              <a:latin typeface="+mn-lt"/>
              <a:ea typeface="+mn-ea"/>
              <a:cs typeface="+mn-cs"/>
            </a:rPr>
            <a:t> 1994-2016</a:t>
          </a:r>
          <a:endParaRPr lang="en-US">
            <a:effectLst/>
          </a:endParaRPr>
        </a:p>
        <a:p>
          <a:endParaRPr lang="en-US" sz="1100">
            <a:solidFill>
              <a:sysClr val="windowText" lastClr="000000"/>
            </a:solidFill>
          </a:endParaRPr>
        </a:p>
      </xdr:txBody>
    </xdr:sp>
    <xdr:clientData/>
  </xdr:twoCellAnchor>
  <xdr:twoCellAnchor>
    <xdr:from>
      <xdr:col>9</xdr:col>
      <xdr:colOff>9526</xdr:colOff>
      <xdr:row>0</xdr:row>
      <xdr:rowOff>66676</xdr:rowOff>
    </xdr:from>
    <xdr:to>
      <xdr:col>12</xdr:col>
      <xdr:colOff>19050</xdr:colOff>
      <xdr:row>3</xdr:row>
      <xdr:rowOff>190501</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115426" y="66676"/>
          <a:ext cx="2466974" cy="838200"/>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Use PV Data to fill in:</a:t>
          </a:r>
        </a:p>
        <a:p>
          <a:pPr lvl="1"/>
          <a:r>
            <a:rPr lang="en-US" sz="1100">
              <a:solidFill>
                <a:sysClr val="windowText" lastClr="000000"/>
              </a:solidFill>
            </a:rPr>
            <a:t>1) Historical</a:t>
          </a:r>
          <a:r>
            <a:rPr lang="en-US" sz="1100" baseline="0">
              <a:solidFill>
                <a:sysClr val="windowText" lastClr="000000"/>
              </a:solidFill>
            </a:rPr>
            <a:t> Returns (CAGR)</a:t>
          </a:r>
        </a:p>
        <a:p>
          <a:pPr lvl="1"/>
          <a:r>
            <a:rPr lang="en-US" sz="1100" baseline="0">
              <a:solidFill>
                <a:sysClr val="windowText" lastClr="000000"/>
              </a:solidFill>
            </a:rPr>
            <a:t>2) Standard Deviation</a:t>
          </a:r>
        </a:p>
        <a:p>
          <a:pPr lvl="1"/>
          <a:r>
            <a:rPr lang="en-US" sz="1100" baseline="0">
              <a:solidFill>
                <a:sysClr val="windowText" lastClr="000000"/>
              </a:solidFill>
            </a:rPr>
            <a:t>3) Sharpe Ratio</a:t>
          </a:r>
        </a:p>
        <a:p>
          <a:endParaRPr lang="en-US" sz="1100" baseline="0">
            <a:solidFill>
              <a:sysClr val="windowText" lastClr="000000"/>
            </a:solidFill>
          </a:endParaRPr>
        </a:p>
        <a:p>
          <a:endParaRPr lang="en-US" sz="1100" baseline="0">
            <a:solidFill>
              <a:sysClr val="windowText" lastClr="000000"/>
            </a:solidFill>
          </a:endParaRPr>
        </a:p>
        <a:p>
          <a:endParaRPr lang="en-US" sz="1100">
            <a:solidFill>
              <a:sysClr val="windowText" lastClr="000000"/>
            </a:solidFill>
          </a:endParaRPr>
        </a:p>
      </xdr:txBody>
    </xdr:sp>
    <xdr:clientData/>
  </xdr:twoCellAnchor>
  <xdr:twoCellAnchor>
    <xdr:from>
      <xdr:col>12</xdr:col>
      <xdr:colOff>590550</xdr:colOff>
      <xdr:row>2</xdr:row>
      <xdr:rowOff>36742</xdr:rowOff>
    </xdr:from>
    <xdr:to>
      <xdr:col>16</xdr:col>
      <xdr:colOff>190500</xdr:colOff>
      <xdr:row>4</xdr:row>
      <xdr:rowOff>161925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13554075" y="512992"/>
          <a:ext cx="2667000" cy="57285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Using your own forecasts,</a:t>
          </a:r>
          <a:r>
            <a:rPr lang="en-US" sz="1100" baseline="0">
              <a:solidFill>
                <a:sysClr val="windowText" lastClr="000000"/>
              </a:solidFill>
            </a:rPr>
            <a:t> put the expected return for each asset class in your portfolio.</a:t>
          </a:r>
          <a:endParaRPr lang="en-US" sz="1100">
            <a:solidFill>
              <a:sysClr val="windowText" lastClr="000000"/>
            </a:solidFill>
          </a:endParaRPr>
        </a:p>
      </xdr:txBody>
    </xdr:sp>
    <xdr:clientData/>
  </xdr:twoCellAnchor>
  <xdr:twoCellAnchor>
    <xdr:from>
      <xdr:col>8</xdr:col>
      <xdr:colOff>807721</xdr:colOff>
      <xdr:row>5</xdr:row>
      <xdr:rowOff>140486</xdr:rowOff>
    </xdr:from>
    <xdr:to>
      <xdr:col>11</xdr:col>
      <xdr:colOff>441960</xdr:colOff>
      <xdr:row>6</xdr:row>
      <xdr:rowOff>190500</xdr:rowOff>
    </xdr:to>
    <xdr:cxnSp macro="">
      <xdr:nvCxnSpPr>
        <xdr:cNvPr id="9" name="Straight Arrow Connector 8">
          <a:extLst>
            <a:ext uri="{FF2B5EF4-FFF2-40B4-BE49-F238E27FC236}">
              <a16:creationId xmlns:a16="http://schemas.microsoft.com/office/drawing/2014/main" id="{00000000-0008-0000-0300-000009000000}"/>
            </a:ext>
          </a:extLst>
        </xdr:cNvPr>
        <xdr:cNvCxnSpPr>
          <a:stCxn id="2" idx="3"/>
        </xdr:cNvCxnSpPr>
      </xdr:nvCxnSpPr>
      <xdr:spPr>
        <a:xfrm>
          <a:off x="9342121" y="1283486"/>
          <a:ext cx="2174239" cy="27861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485776</xdr:colOff>
      <xdr:row>21</xdr:row>
      <xdr:rowOff>170771</xdr:rowOff>
    </xdr:from>
    <xdr:to>
      <xdr:col>13</xdr:col>
      <xdr:colOff>0</xdr:colOff>
      <xdr:row>23</xdr:row>
      <xdr:rowOff>0</xdr:rowOff>
    </xdr:to>
    <xdr:cxnSp macro="">
      <xdr:nvCxnSpPr>
        <xdr:cNvPr id="11" name="Straight Arrow Connector 10">
          <a:extLst>
            <a:ext uri="{FF2B5EF4-FFF2-40B4-BE49-F238E27FC236}">
              <a16:creationId xmlns:a16="http://schemas.microsoft.com/office/drawing/2014/main" id="{00000000-0008-0000-0300-00000B000000}"/>
            </a:ext>
          </a:extLst>
        </xdr:cNvPr>
        <xdr:cNvCxnSpPr>
          <a:stCxn id="13" idx="1"/>
        </xdr:cNvCxnSpPr>
      </xdr:nvCxnSpPr>
      <xdr:spPr>
        <a:xfrm flipH="1">
          <a:off x="12049126" y="4723721"/>
          <a:ext cx="333374" cy="3054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xdr:row>
      <xdr:rowOff>38099</xdr:rowOff>
    </xdr:from>
    <xdr:to>
      <xdr:col>11</xdr:col>
      <xdr:colOff>771525</xdr:colOff>
      <xdr:row>7</xdr:row>
      <xdr:rowOff>19045</xdr:rowOff>
    </xdr:to>
    <xdr:sp macro="" textlink="">
      <xdr:nvSpPr>
        <xdr:cNvPr id="16" name="Right Brace 15">
          <a:extLst>
            <a:ext uri="{FF2B5EF4-FFF2-40B4-BE49-F238E27FC236}">
              <a16:creationId xmlns:a16="http://schemas.microsoft.com/office/drawing/2014/main" id="{00000000-0008-0000-0300-000010000000}"/>
            </a:ext>
          </a:extLst>
        </xdr:cNvPr>
        <xdr:cNvSpPr/>
      </xdr:nvSpPr>
      <xdr:spPr>
        <a:xfrm rot="16200000">
          <a:off x="9986965" y="80959"/>
          <a:ext cx="647696" cy="2409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0</xdr:colOff>
      <xdr:row>20</xdr:row>
      <xdr:rowOff>189142</xdr:rowOff>
    </xdr:from>
    <xdr:to>
      <xdr:col>16</xdr:col>
      <xdr:colOff>419100</xdr:colOff>
      <xdr:row>22</xdr:row>
      <xdr:rowOff>152400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2382500" y="4503967"/>
          <a:ext cx="2667000" cy="43950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ysClr val="windowText" lastClr="000000"/>
              </a:solidFill>
            </a:rPr>
            <a:t>Expected Returns optional for New Tactical Positions.</a:t>
          </a:r>
          <a:endParaRPr lang="en-US" sz="1100">
            <a:solidFill>
              <a:sysClr val="windowText" lastClr="000000"/>
            </a:solidFill>
          </a:endParaRPr>
        </a:p>
      </xdr:txBody>
    </xdr:sp>
    <xdr:clientData/>
  </xdr:twoCellAnchor>
  <xdr:twoCellAnchor>
    <xdr:from>
      <xdr:col>12</xdr:col>
      <xdr:colOff>352426</xdr:colOff>
      <xdr:row>5</xdr:row>
      <xdr:rowOff>23134</xdr:rowOff>
    </xdr:from>
    <xdr:to>
      <xdr:col>12</xdr:col>
      <xdr:colOff>695325</xdr:colOff>
      <xdr:row>6</xdr:row>
      <xdr:rowOff>219075</xdr:rowOff>
    </xdr:to>
    <xdr:cxnSp macro="">
      <xdr:nvCxnSpPr>
        <xdr:cNvPr id="14" name="Straight Arrow Connector 13">
          <a:extLst>
            <a:ext uri="{FF2B5EF4-FFF2-40B4-BE49-F238E27FC236}">
              <a16:creationId xmlns:a16="http://schemas.microsoft.com/office/drawing/2014/main" id="{00000000-0008-0000-0300-00000E000000}"/>
            </a:ext>
          </a:extLst>
        </xdr:cNvPr>
        <xdr:cNvCxnSpPr/>
      </xdr:nvCxnSpPr>
      <xdr:spPr>
        <a:xfrm flipH="1">
          <a:off x="11915776" y="1137559"/>
          <a:ext cx="342899" cy="43406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1546860</xdr:colOff>
      <xdr:row>20</xdr:row>
      <xdr:rowOff>42333</xdr:rowOff>
    </xdr:from>
    <xdr:to>
      <xdr:col>10</xdr:col>
      <xdr:colOff>595449</xdr:colOff>
      <xdr:row>22</xdr:row>
      <xdr:rowOff>50074</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6804660" y="4292600"/>
          <a:ext cx="4018522" cy="464941"/>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(L24).</a:t>
          </a:r>
        </a:p>
        <a:p>
          <a:r>
            <a:rPr lang="en-US" sz="1100">
              <a:solidFill>
                <a:sysClr val="windowText" lastClr="000000"/>
              </a:solidFill>
            </a:rPr>
            <a:t>Example:</a:t>
          </a:r>
          <a:r>
            <a:rPr lang="en-US" sz="1100" baseline="0">
              <a:solidFill>
                <a:sysClr val="windowText" lastClr="000000"/>
              </a:solidFill>
            </a:rPr>
            <a:t> 1994-2016</a:t>
          </a:r>
          <a:endParaRPr lang="en-US" sz="1100">
            <a:solidFill>
              <a:sysClr val="windowText" lastClr="000000"/>
            </a:solidFill>
          </a:endParaRPr>
        </a:p>
      </xdr:txBody>
    </xdr:sp>
    <xdr:clientData/>
  </xdr:twoCellAnchor>
  <xdr:twoCellAnchor>
    <xdr:from>
      <xdr:col>10</xdr:col>
      <xdr:colOff>595449</xdr:colOff>
      <xdr:row>21</xdr:row>
      <xdr:rowOff>46204</xdr:rowOff>
    </xdr:from>
    <xdr:to>
      <xdr:col>11</xdr:col>
      <xdr:colOff>472440</xdr:colOff>
      <xdr:row>22</xdr:row>
      <xdr:rowOff>213360</xdr:rowOff>
    </xdr:to>
    <xdr:cxnSp macro="">
      <xdr:nvCxnSpPr>
        <xdr:cNvPr id="15" name="Straight Arrow Connector 14">
          <a:extLst>
            <a:ext uri="{FF2B5EF4-FFF2-40B4-BE49-F238E27FC236}">
              <a16:creationId xmlns:a16="http://schemas.microsoft.com/office/drawing/2014/main" id="{00000000-0008-0000-0300-00000F000000}"/>
            </a:ext>
          </a:extLst>
        </xdr:cNvPr>
        <xdr:cNvCxnSpPr>
          <a:stCxn id="12" idx="3"/>
        </xdr:cNvCxnSpPr>
      </xdr:nvCxnSpPr>
      <xdr:spPr>
        <a:xfrm>
          <a:off x="10823182" y="4525071"/>
          <a:ext cx="723658" cy="39575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21166</xdr:colOff>
      <xdr:row>32</xdr:row>
      <xdr:rowOff>21165</xdr:rowOff>
    </xdr:from>
    <xdr:to>
      <xdr:col>22</xdr:col>
      <xdr:colOff>169332</xdr:colOff>
      <xdr:row>35</xdr:row>
      <xdr:rowOff>105834</xdr:rowOff>
    </xdr:to>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15229416" y="7016748"/>
          <a:ext cx="3217333" cy="656169"/>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Note</a:t>
          </a:r>
          <a:r>
            <a:rPr lang="en-US" sz="1100">
              <a:solidFill>
                <a:sysClr val="windowText" lastClr="000000"/>
              </a:solidFill>
            </a:rPr>
            <a:t>:</a:t>
          </a:r>
          <a:r>
            <a:rPr lang="en-US" sz="1100" baseline="0">
              <a:solidFill>
                <a:sysClr val="windowText" lastClr="000000"/>
              </a:solidFill>
            </a:rPr>
            <a:t> If you only buy and sell Policy Portfolio assets, no "New Tactical Positions" will show up in the lower table.</a:t>
          </a:r>
          <a:endParaRPr 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323850</xdr:colOff>
      <xdr:row>2</xdr:row>
      <xdr:rowOff>95250</xdr:rowOff>
    </xdr:from>
    <xdr:to>
      <xdr:col>12</xdr:col>
      <xdr:colOff>180975</xdr:colOff>
      <xdr:row>3</xdr:row>
      <xdr:rowOff>209550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210425" y="533400"/>
          <a:ext cx="4543425" cy="33337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1: For Policy Portfolio - Enter in Purchase Price Only</a:t>
          </a:r>
        </a:p>
      </xdr:txBody>
    </xdr:sp>
    <xdr:clientData/>
  </xdr:twoCellAnchor>
  <xdr:twoCellAnchor>
    <xdr:from>
      <xdr:col>9</xdr:col>
      <xdr:colOff>509588</xdr:colOff>
      <xdr:row>3</xdr:row>
      <xdr:rowOff>209550</xdr:rowOff>
    </xdr:from>
    <xdr:to>
      <xdr:col>9</xdr:col>
      <xdr:colOff>523875</xdr:colOff>
      <xdr:row>6</xdr:row>
      <xdr:rowOff>28575</xdr:rowOff>
    </xdr:to>
    <xdr:cxnSp macro="">
      <xdr:nvCxnSpPr>
        <xdr:cNvPr id="3" name="Straight Arrow Connector 2">
          <a:extLst>
            <a:ext uri="{FF2B5EF4-FFF2-40B4-BE49-F238E27FC236}">
              <a16:creationId xmlns:a16="http://schemas.microsoft.com/office/drawing/2014/main" id="{00000000-0008-0000-0400-000003000000}"/>
            </a:ext>
          </a:extLst>
        </xdr:cNvPr>
        <xdr:cNvCxnSpPr/>
      </xdr:nvCxnSpPr>
      <xdr:spPr>
        <a:xfrm>
          <a:off x="9510713" y="866775"/>
          <a:ext cx="14287" cy="476250"/>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323850</xdr:colOff>
      <xdr:row>21</xdr:row>
      <xdr:rowOff>28574</xdr:rowOff>
    </xdr:from>
    <xdr:to>
      <xdr:col>12</xdr:col>
      <xdr:colOff>285750</xdr:colOff>
      <xdr:row>28</xdr:row>
      <xdr:rowOff>152399</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7210425" y="4114799"/>
          <a:ext cx="4648200" cy="145732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2 &amp; Beyond: For</a:t>
          </a:r>
          <a:r>
            <a:rPr lang="en-US" sz="1100" baseline="0">
              <a:solidFill>
                <a:sysClr val="windowText" lastClr="000000"/>
              </a:solidFill>
            </a:rPr>
            <a:t> all trades after the initial portfolio, input the following:</a:t>
          </a:r>
        </a:p>
        <a:p>
          <a:r>
            <a:rPr lang="en-US" sz="1100" baseline="0">
              <a:solidFill>
                <a:sysClr val="windowText" lastClr="000000"/>
              </a:solidFill>
            </a:rPr>
            <a:t>- Ticker</a:t>
          </a:r>
        </a:p>
        <a:p>
          <a:r>
            <a:rPr lang="en-US" sz="1100">
              <a:solidFill>
                <a:sysClr val="windowText" lastClr="000000"/>
              </a:solidFill>
            </a:rPr>
            <a:t>- Buy/Sell</a:t>
          </a:r>
        </a:p>
        <a:p>
          <a:r>
            <a:rPr lang="en-US" sz="1100">
              <a:solidFill>
                <a:sysClr val="windowText" lastClr="000000"/>
              </a:solidFill>
            </a:rPr>
            <a:t>- Transaction Date</a:t>
          </a:r>
        </a:p>
        <a:p>
          <a:r>
            <a:rPr lang="en-US" sz="1100">
              <a:solidFill>
                <a:sysClr val="windowText" lastClr="000000"/>
              </a:solidFill>
            </a:rPr>
            <a:t>-</a:t>
          </a:r>
          <a:r>
            <a:rPr lang="en-US" sz="1100" baseline="0">
              <a:solidFill>
                <a:sysClr val="windowText" lastClr="000000"/>
              </a:solidFill>
            </a:rPr>
            <a:t> # of Shares</a:t>
          </a:r>
        </a:p>
        <a:p>
          <a:r>
            <a:rPr lang="en-US" sz="1100">
              <a:solidFill>
                <a:sysClr val="windowText" lastClr="000000"/>
              </a:solidFill>
            </a:rPr>
            <a:t>- Price</a:t>
          </a:r>
        </a:p>
        <a:p>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474345</xdr:colOff>
      <xdr:row>3</xdr:row>
      <xdr:rowOff>15238</xdr:rowOff>
    </xdr:from>
    <xdr:to>
      <xdr:col>16</xdr:col>
      <xdr:colOff>485775</xdr:colOff>
      <xdr:row>8</xdr:row>
      <xdr:rowOff>9525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8446770" y="634363"/>
          <a:ext cx="3707130" cy="946787"/>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Prices should be put in for each of the five Fridays of the Capstone. </a:t>
          </a:r>
          <a:r>
            <a:rPr lang="en-US" sz="1100" baseline="0">
              <a:solidFill>
                <a:sysClr val="windowText" lastClr="000000"/>
              </a:solidFill>
            </a:rPr>
            <a:t> </a:t>
          </a:r>
          <a:r>
            <a:rPr lang="en-US" sz="1100">
              <a:solidFill>
                <a:sysClr val="windowText" lastClr="000000"/>
              </a:solidFill>
            </a:rPr>
            <a:t>If Friday is a Holiday, then take last trading day close.</a:t>
          </a:r>
        </a:p>
        <a:p>
          <a:endParaRPr lang="en-US" sz="1100">
            <a:solidFill>
              <a:sysClr val="windowText" lastClr="000000"/>
            </a:solidFill>
          </a:endParaRPr>
        </a:p>
        <a:p>
          <a:r>
            <a:rPr lang="en-US" sz="1100">
              <a:solidFill>
                <a:sysClr val="windowText" lastClr="000000"/>
              </a:solidFill>
            </a:rPr>
            <a:t>To include dividends use the adjusted close price.</a:t>
          </a:r>
        </a:p>
      </xdr:txBody>
    </xdr:sp>
    <xdr:clientData/>
  </xdr:twoCellAnchor>
  <xdr:twoCellAnchor>
    <xdr:from>
      <xdr:col>10</xdr:col>
      <xdr:colOff>464819</xdr:colOff>
      <xdr:row>8</xdr:row>
      <xdr:rowOff>110489</xdr:rowOff>
    </xdr:from>
    <xdr:to>
      <xdr:col>16</xdr:col>
      <xdr:colOff>485774</xdr:colOff>
      <xdr:row>11</xdr:row>
      <xdr:rowOff>180975</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8437244" y="1682114"/>
          <a:ext cx="3716655" cy="64198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a:t>
          </a:r>
          <a:r>
            <a:rPr lang="en-US" sz="1100" baseline="0">
              <a:solidFill>
                <a:sysClr val="windowText" lastClr="000000"/>
              </a:solidFill>
            </a:rPr>
            <a:t> Week #5 pricing, you may price on a day other than Friday if you want to complete your analysis earlier. Just put the closing prices of any day that week into "Week #5" column.</a:t>
          </a:r>
          <a:endParaRPr lang="en-US" sz="1100">
            <a:solidFill>
              <a:sysClr val="windowText" lastClr="000000"/>
            </a:solidFill>
          </a:endParaRPr>
        </a:p>
      </xdr:txBody>
    </xdr:sp>
    <xdr:clientData/>
  </xdr:twoCellAnchor>
  <xdr:twoCellAnchor>
    <xdr:from>
      <xdr:col>10</xdr:col>
      <xdr:colOff>38100</xdr:colOff>
      <xdr:row>5</xdr:row>
      <xdr:rowOff>85725</xdr:rowOff>
    </xdr:from>
    <xdr:to>
      <xdr:col>10</xdr:col>
      <xdr:colOff>464819</xdr:colOff>
      <xdr:row>10</xdr:row>
      <xdr:rowOff>50482</xdr:rowOff>
    </xdr:to>
    <xdr:cxnSp macro="">
      <xdr:nvCxnSpPr>
        <xdr:cNvPr id="6" name="Straight Arrow Connector 5">
          <a:extLst>
            <a:ext uri="{FF2B5EF4-FFF2-40B4-BE49-F238E27FC236}">
              <a16:creationId xmlns:a16="http://schemas.microsoft.com/office/drawing/2014/main" id="{00000000-0008-0000-0500-000006000000}"/>
            </a:ext>
          </a:extLst>
        </xdr:cNvPr>
        <xdr:cNvCxnSpPr>
          <a:stCxn id="4" idx="1"/>
        </xdr:cNvCxnSpPr>
      </xdr:nvCxnSpPr>
      <xdr:spPr>
        <a:xfrm flipH="1" flipV="1">
          <a:off x="8010525" y="1085850"/>
          <a:ext cx="426719" cy="91725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xdr:colOff>
      <xdr:row>10</xdr:row>
      <xdr:rowOff>50482</xdr:rowOff>
    </xdr:from>
    <xdr:to>
      <xdr:col>10</xdr:col>
      <xdr:colOff>464819</xdr:colOff>
      <xdr:row>19</xdr:row>
      <xdr:rowOff>123825</xdr:rowOff>
    </xdr:to>
    <xdr:cxnSp macro="">
      <xdr:nvCxnSpPr>
        <xdr:cNvPr id="10" name="Straight Arrow Connector 9">
          <a:extLst>
            <a:ext uri="{FF2B5EF4-FFF2-40B4-BE49-F238E27FC236}">
              <a16:creationId xmlns:a16="http://schemas.microsoft.com/office/drawing/2014/main" id="{00000000-0008-0000-0500-00000A000000}"/>
            </a:ext>
          </a:extLst>
        </xdr:cNvPr>
        <xdr:cNvCxnSpPr>
          <a:stCxn id="4" idx="1"/>
        </xdr:cNvCxnSpPr>
      </xdr:nvCxnSpPr>
      <xdr:spPr>
        <a:xfrm flipH="1">
          <a:off x="8001000" y="2003107"/>
          <a:ext cx="436244" cy="178784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704850</xdr:colOff>
      <xdr:row>1</xdr:row>
      <xdr:rowOff>10798</xdr:rowOff>
    </xdr:from>
    <xdr:to>
      <xdr:col>10</xdr:col>
      <xdr:colOff>469265</xdr:colOff>
      <xdr:row>6</xdr:row>
      <xdr:rowOff>264586</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774517" y="233048"/>
          <a:ext cx="3055831" cy="1365038"/>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 Current Price is equal to the weekly price from the Price Inputs </a:t>
          </a:r>
          <a:r>
            <a:rPr lang="en-US" sz="1100" baseline="0">
              <a:solidFill>
                <a:sysClr val="windowText" lastClr="000000"/>
              </a:solidFill>
            </a:rPr>
            <a:t>page or the purchase price if no other price is available. </a:t>
          </a:r>
        </a:p>
        <a:p>
          <a:pPr algn="l"/>
          <a:endParaRPr lang="en-US" sz="1100" baseline="0">
            <a:solidFill>
              <a:sysClr val="windowText" lastClr="000000"/>
            </a:solidFill>
          </a:endParaRPr>
        </a:p>
        <a:p>
          <a:pPr algn="l"/>
          <a:r>
            <a:rPr lang="en-US" sz="1100" baseline="0">
              <a:solidFill>
                <a:sysClr val="windowText" lastClr="000000"/>
              </a:solidFill>
            </a:rPr>
            <a:t>Make sure you are in the correct week. Otherwise, the portfolio value will be off if securities were bought or sold.</a:t>
          </a:r>
        </a:p>
        <a:p>
          <a:endParaRPr lang="en-US" sz="1100" baseline="0">
            <a:solidFill>
              <a:sysClr val="windowText" lastClr="000000"/>
            </a:solidFill>
          </a:endParaRPr>
        </a:p>
        <a:p>
          <a:endParaRPr lang="en-US" sz="1100" baseline="0">
            <a:solidFill>
              <a:sysClr val="windowText" lastClr="000000"/>
            </a:solidFill>
          </a:endParaRPr>
        </a:p>
      </xdr:txBody>
    </xdr:sp>
    <xdr:clientData/>
  </xdr:twoCellAnchor>
  <xdr:twoCellAnchor>
    <xdr:from>
      <xdr:col>5</xdr:col>
      <xdr:colOff>447675</xdr:colOff>
      <xdr:row>2</xdr:row>
      <xdr:rowOff>209550</xdr:rowOff>
    </xdr:from>
    <xdr:to>
      <xdr:col>7</xdr:col>
      <xdr:colOff>0</xdr:colOff>
      <xdr:row>6</xdr:row>
      <xdr:rowOff>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5438775" y="647700"/>
          <a:ext cx="1447800" cy="1162050"/>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 portfolio pricing to be accurate, the correct week needs to be displayed. </a:t>
          </a:r>
        </a:p>
      </xdr:txBody>
    </xdr:sp>
    <xdr:clientData/>
  </xdr:twoCellAnchor>
  <xdr:twoCellAnchor>
    <xdr:from>
      <xdr:col>5</xdr:col>
      <xdr:colOff>19051</xdr:colOff>
      <xdr:row>4</xdr:row>
      <xdr:rowOff>95250</xdr:rowOff>
    </xdr:from>
    <xdr:to>
      <xdr:col>5</xdr:col>
      <xdr:colOff>447675</xdr:colOff>
      <xdr:row>4</xdr:row>
      <xdr:rowOff>95250</xdr:rowOff>
    </xdr:to>
    <xdr:cxnSp macro="">
      <xdr:nvCxnSpPr>
        <xdr:cNvPr id="5" name="Straight Arrow Connector 4">
          <a:extLst>
            <a:ext uri="{FF2B5EF4-FFF2-40B4-BE49-F238E27FC236}">
              <a16:creationId xmlns:a16="http://schemas.microsoft.com/office/drawing/2014/main" id="{00000000-0008-0000-0600-000005000000}"/>
            </a:ext>
          </a:extLst>
        </xdr:cNvPr>
        <xdr:cNvCxnSpPr/>
      </xdr:nvCxnSpPr>
      <xdr:spPr>
        <a:xfrm flipH="1">
          <a:off x="5010151" y="971550"/>
          <a:ext cx="42862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absoluteAnchor>
    <xdr:pos x="13395613" y="1294342"/>
    <xdr:ext cx="4321630" cy="3254829"/>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3311332" y="5179291"/>
    <xdr:ext cx="4321630" cy="3254829"/>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8.xml><?xml version="1.0" encoding="utf-8"?>
<xdr:wsDr xmlns:xdr="http://schemas.openxmlformats.org/drawingml/2006/spreadsheetDrawing" xmlns:a="http://schemas.openxmlformats.org/drawingml/2006/main">
  <xdr:twoCellAnchor>
    <xdr:from>
      <xdr:col>10</xdr:col>
      <xdr:colOff>375285</xdr:colOff>
      <xdr:row>72</xdr:row>
      <xdr:rowOff>57150</xdr:rowOff>
    </xdr:from>
    <xdr:to>
      <xdr:col>19</xdr:col>
      <xdr:colOff>47625</xdr:colOff>
      <xdr:row>84</xdr:row>
      <xdr:rowOff>30480</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jgsps2/FCPublic/My%20Data/Desktop/Zions%20Trade%20Sheets/ESRX%202.75%2011_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jgsps2/FCPublic/My%20Data/Documents/Class_Zions%20Bank_FI%20Fund/Credit%20Analysis%20Spreadsheets/Corporate%20Screening%20and%20Analysis_Short%20Bonds%20Updat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porate"/>
      <sheetName val="Credit Sheet"/>
    </sheetNames>
    <sheetDataSet>
      <sheetData sheetId="0" refreshError="1">
        <row r="6">
          <cell r="E6">
            <v>0</v>
          </cell>
        </row>
        <row r="17">
          <cell r="D17" t="str">
            <v>Express Scripts Holding Company. is a full service pharmacy benefit management</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Chart"/>
      <sheetName val="Help"/>
      <sheetName val="data"/>
      <sheetName val="HelpCorp"/>
      <sheetName val="Corporate"/>
      <sheetName val="Credit Analysis_Bank"/>
      <sheetName val="Credit Analysis_Corp"/>
      <sheetName val="chartdata"/>
      <sheetName val="Corporate Screening and Analysi"/>
    </sheetNames>
    <sheetDataSet>
      <sheetData sheetId="0">
        <row r="8">
          <cell r="D8">
            <v>41736</v>
          </cell>
        </row>
      </sheetData>
      <sheetData sheetId="1">
        <row r="6">
          <cell r="C6" t="str">
            <v>EI870301@CBBT Corp</v>
          </cell>
        </row>
      </sheetData>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vestor.vanguard.com/etf/" TargetMode="External"/><Relationship Id="rId2" Type="http://schemas.openxmlformats.org/officeDocument/2006/relationships/hyperlink" Target="https://www.invesco.com/portal/site/us/investors/etfs/" TargetMode="External"/><Relationship Id="rId1" Type="http://schemas.openxmlformats.org/officeDocument/2006/relationships/hyperlink" Target="https://www.ishares.com/u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s.spdrs.com/en/product/index.sea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portfoliovisualizer.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N139"/>
  <sheetViews>
    <sheetView showGridLines="0" topLeftCell="B1" zoomScaleNormal="100" workbookViewId="0">
      <selection activeCell="E21" sqref="E21"/>
    </sheetView>
  </sheetViews>
  <sheetFormatPr baseColWidth="10" defaultColWidth="9.1640625" defaultRowHeight="15" x14ac:dyDescent="0.2"/>
  <cols>
    <col min="1" max="1" width="0" style="7" hidden="1" customWidth="1"/>
    <col min="2" max="2" width="29.1640625" style="7" customWidth="1"/>
    <col min="3" max="3" width="11.6640625" style="53" customWidth="1"/>
    <col min="4" max="4" width="14" style="7" customWidth="1"/>
    <col min="5" max="5" width="40.33203125" style="53" bestFit="1" customWidth="1"/>
    <col min="6" max="6" width="14.33203125" style="53" bestFit="1" customWidth="1"/>
    <col min="7" max="7" width="22.6640625" style="53" bestFit="1" customWidth="1"/>
    <col min="8" max="8" width="35.6640625" style="53" customWidth="1"/>
    <col min="9" max="9" width="16.6640625" style="53" bestFit="1" customWidth="1"/>
    <col min="10" max="10" width="12.6640625" style="53" bestFit="1" customWidth="1"/>
    <col min="11" max="11" width="9.1640625" style="7"/>
    <col min="12" max="12" width="4.6640625" style="7" customWidth="1"/>
    <col min="13" max="13" width="22.33203125" style="7" bestFit="1" customWidth="1"/>
    <col min="14" max="14" width="63.33203125" style="7" bestFit="1" customWidth="1"/>
    <col min="15" max="16384" width="9.1640625" style="7"/>
  </cols>
  <sheetData>
    <row r="1" spans="2:14" ht="60" x14ac:dyDescent="0.25">
      <c r="B1" s="119" t="s">
        <v>144</v>
      </c>
      <c r="C1" s="120" t="s">
        <v>0</v>
      </c>
      <c r="D1" s="120" t="s">
        <v>306</v>
      </c>
      <c r="E1" s="120" t="s">
        <v>1</v>
      </c>
      <c r="F1" s="120" t="s">
        <v>32</v>
      </c>
      <c r="G1" s="120" t="s">
        <v>144</v>
      </c>
      <c r="H1" s="120" t="s">
        <v>3</v>
      </c>
      <c r="I1" s="121" t="s">
        <v>2</v>
      </c>
      <c r="J1" s="122" t="s">
        <v>42</v>
      </c>
    </row>
    <row r="2" spans="2:14" x14ac:dyDescent="0.2">
      <c r="B2" s="77" t="s">
        <v>43</v>
      </c>
      <c r="C2" s="52"/>
      <c r="D2" s="52"/>
      <c r="E2" s="52"/>
      <c r="F2" s="52"/>
      <c r="G2" s="52"/>
      <c r="H2" s="52"/>
      <c r="I2" s="52"/>
      <c r="J2" s="78"/>
      <c r="L2" s="699" t="s">
        <v>333</v>
      </c>
      <c r="M2" s="72" t="s">
        <v>3</v>
      </c>
      <c r="N2" s="72" t="s">
        <v>332</v>
      </c>
    </row>
    <row r="3" spans="2:14" x14ac:dyDescent="0.2">
      <c r="B3" s="75"/>
      <c r="C3" s="58" t="s">
        <v>45</v>
      </c>
      <c r="D3" s="59">
        <v>38380</v>
      </c>
      <c r="E3" s="60" t="s">
        <v>140</v>
      </c>
      <c r="F3" s="58" t="s">
        <v>341</v>
      </c>
      <c r="G3" s="58" t="s">
        <v>33</v>
      </c>
      <c r="H3" s="58" t="s">
        <v>213</v>
      </c>
      <c r="I3" s="61">
        <v>0.25</v>
      </c>
      <c r="J3" s="76">
        <v>9818949</v>
      </c>
      <c r="L3" s="700"/>
      <c r="M3" s="200" t="s">
        <v>283</v>
      </c>
      <c r="N3" s="595" t="s">
        <v>235</v>
      </c>
    </row>
    <row r="4" spans="2:14" x14ac:dyDescent="0.2">
      <c r="B4" s="75"/>
      <c r="C4" s="58" t="s">
        <v>46</v>
      </c>
      <c r="D4" s="59">
        <v>38835</v>
      </c>
      <c r="E4" s="60" t="s">
        <v>141</v>
      </c>
      <c r="F4" s="58" t="s">
        <v>341</v>
      </c>
      <c r="G4" s="58" t="s">
        <v>33</v>
      </c>
      <c r="H4" s="58" t="s">
        <v>278</v>
      </c>
      <c r="I4" s="61">
        <v>0.5</v>
      </c>
      <c r="J4" s="76">
        <v>10483368</v>
      </c>
      <c r="L4" s="700"/>
      <c r="M4" s="200" t="s">
        <v>284</v>
      </c>
      <c r="N4" s="595" t="s">
        <v>336</v>
      </c>
    </row>
    <row r="5" spans="2:14" x14ac:dyDescent="0.2">
      <c r="B5" s="75"/>
      <c r="C5" s="58" t="s">
        <v>47</v>
      </c>
      <c r="D5" s="59">
        <v>38817</v>
      </c>
      <c r="E5" s="60" t="s">
        <v>334</v>
      </c>
      <c r="F5" s="58" t="s">
        <v>341</v>
      </c>
      <c r="G5" s="58" t="s">
        <v>33</v>
      </c>
      <c r="H5" s="58" t="s">
        <v>279</v>
      </c>
      <c r="I5" s="61">
        <v>0.72</v>
      </c>
      <c r="J5" s="76">
        <v>41176420</v>
      </c>
      <c r="L5" s="700"/>
      <c r="M5" s="200" t="s">
        <v>285</v>
      </c>
      <c r="N5" s="595" t="s">
        <v>335</v>
      </c>
    </row>
    <row r="6" spans="2:14" x14ac:dyDescent="0.2">
      <c r="B6" s="77" t="s">
        <v>145</v>
      </c>
      <c r="C6" s="52"/>
      <c r="D6" s="52"/>
      <c r="E6" s="52"/>
      <c r="F6" s="52"/>
      <c r="G6" s="52"/>
      <c r="H6" s="52"/>
      <c r="I6" s="52"/>
      <c r="J6" s="78"/>
      <c r="L6" s="700"/>
      <c r="M6" s="200" t="s">
        <v>286</v>
      </c>
      <c r="N6" s="595" t="s">
        <v>287</v>
      </c>
    </row>
    <row r="7" spans="2:14" x14ac:dyDescent="0.2">
      <c r="B7" s="79"/>
      <c r="C7" s="53" t="s">
        <v>121</v>
      </c>
      <c r="D7" s="54">
        <v>36696</v>
      </c>
      <c r="E7" s="55" t="s">
        <v>236</v>
      </c>
      <c r="F7" s="53" t="s">
        <v>341</v>
      </c>
      <c r="G7" s="53" t="s">
        <v>169</v>
      </c>
      <c r="H7" s="53" t="s">
        <v>14</v>
      </c>
      <c r="I7" s="56">
        <v>0.43</v>
      </c>
      <c r="J7" s="80">
        <v>9061343</v>
      </c>
      <c r="L7" s="700"/>
      <c r="M7" s="200" t="s">
        <v>288</v>
      </c>
      <c r="N7" s="595" t="s">
        <v>289</v>
      </c>
    </row>
    <row r="8" spans="2:14" x14ac:dyDescent="0.2">
      <c r="B8" s="77" t="s">
        <v>122</v>
      </c>
      <c r="C8" s="52"/>
      <c r="D8" s="52"/>
      <c r="E8" s="52"/>
      <c r="F8" s="52"/>
      <c r="G8" s="52"/>
      <c r="H8" s="52"/>
      <c r="I8" s="52"/>
      <c r="J8" s="78"/>
    </row>
    <row r="9" spans="2:14" x14ac:dyDescent="0.2">
      <c r="B9" s="79"/>
      <c r="C9" s="53" t="s">
        <v>85</v>
      </c>
      <c r="D9" s="54">
        <v>39066</v>
      </c>
      <c r="E9" s="55" t="s">
        <v>148</v>
      </c>
      <c r="F9" s="53" t="s">
        <v>341</v>
      </c>
      <c r="G9" s="53" t="s">
        <v>169</v>
      </c>
      <c r="H9" s="53" t="s">
        <v>14</v>
      </c>
      <c r="I9" s="56">
        <v>0.59</v>
      </c>
      <c r="J9" s="80">
        <v>967665.0625</v>
      </c>
    </row>
    <row r="10" spans="2:14" x14ac:dyDescent="0.2">
      <c r="B10" s="81" t="s">
        <v>192</v>
      </c>
      <c r="C10" s="63"/>
      <c r="D10" s="64"/>
      <c r="E10" s="65"/>
      <c r="F10" s="63"/>
      <c r="G10" s="63"/>
      <c r="H10" s="63"/>
      <c r="I10" s="66"/>
      <c r="J10" s="82"/>
    </row>
    <row r="11" spans="2:14" x14ac:dyDescent="0.2">
      <c r="B11" s="83"/>
      <c r="C11" s="53" t="s">
        <v>52</v>
      </c>
      <c r="D11" s="54">
        <v>37042</v>
      </c>
      <c r="E11" s="55" t="s">
        <v>237</v>
      </c>
      <c r="F11" s="53" t="s">
        <v>301</v>
      </c>
      <c r="G11" s="53" t="s">
        <v>112</v>
      </c>
      <c r="H11" s="53" t="s">
        <v>112</v>
      </c>
      <c r="I11" s="56">
        <v>0.05</v>
      </c>
      <c r="J11" s="80">
        <v>2713992</v>
      </c>
    </row>
    <row r="12" spans="2:14" x14ac:dyDescent="0.2">
      <c r="B12" s="83"/>
      <c r="C12" s="53" t="s">
        <v>51</v>
      </c>
      <c r="D12" s="54">
        <v>37932</v>
      </c>
      <c r="E12" s="55" t="s">
        <v>238</v>
      </c>
      <c r="F12" s="53" t="s">
        <v>301</v>
      </c>
      <c r="G12" s="53" t="s">
        <v>112</v>
      </c>
      <c r="H12" s="53" t="s">
        <v>112</v>
      </c>
      <c r="I12" s="56">
        <v>0.39</v>
      </c>
      <c r="J12" s="80">
        <v>1181536</v>
      </c>
    </row>
    <row r="13" spans="2:14" x14ac:dyDescent="0.2">
      <c r="B13" s="81" t="s">
        <v>113</v>
      </c>
      <c r="C13" s="63"/>
      <c r="D13" s="70"/>
      <c r="E13" s="71"/>
      <c r="F13" s="71"/>
      <c r="G13" s="71"/>
      <c r="H13" s="63"/>
      <c r="I13" s="71"/>
      <c r="J13" s="84"/>
    </row>
    <row r="14" spans="2:14" x14ac:dyDescent="0.2">
      <c r="B14" s="83"/>
      <c r="C14" s="53" t="s">
        <v>79</v>
      </c>
      <c r="D14" s="54">
        <v>33991</v>
      </c>
      <c r="E14" s="55" t="s">
        <v>239</v>
      </c>
      <c r="F14" s="53" t="s">
        <v>301</v>
      </c>
      <c r="G14" s="53" t="s">
        <v>175</v>
      </c>
      <c r="H14" s="53" t="s">
        <v>175</v>
      </c>
      <c r="I14" s="56">
        <v>9.4500000000000001E-2</v>
      </c>
      <c r="J14" s="80">
        <v>89262312</v>
      </c>
    </row>
    <row r="15" spans="2:14" x14ac:dyDescent="0.2">
      <c r="B15" s="83"/>
      <c r="C15" s="53" t="s">
        <v>78</v>
      </c>
      <c r="D15" s="54">
        <v>35815</v>
      </c>
      <c r="E15" s="55" t="s">
        <v>114</v>
      </c>
      <c r="F15" s="53" t="s">
        <v>301</v>
      </c>
      <c r="G15" s="53" t="s">
        <v>175</v>
      </c>
      <c r="H15" s="53" t="s">
        <v>175</v>
      </c>
      <c r="I15" s="56">
        <v>0.17</v>
      </c>
      <c r="J15" s="80">
        <v>3651920.75</v>
      </c>
    </row>
    <row r="16" spans="2:14" x14ac:dyDescent="0.2">
      <c r="B16" s="83"/>
      <c r="C16" s="53" t="s">
        <v>75</v>
      </c>
      <c r="D16" s="54">
        <v>37741</v>
      </c>
      <c r="E16" s="55" t="s">
        <v>118</v>
      </c>
      <c r="F16" s="53" t="s">
        <v>301</v>
      </c>
      <c r="G16" s="53" t="s">
        <v>175</v>
      </c>
      <c r="H16" s="53" t="s">
        <v>175</v>
      </c>
      <c r="I16" s="56">
        <v>0.4</v>
      </c>
      <c r="J16" s="80">
        <v>1229803.875</v>
      </c>
    </row>
    <row r="17" spans="2:10" x14ac:dyDescent="0.2">
      <c r="B17" s="83"/>
      <c r="C17" s="53" t="s">
        <v>74</v>
      </c>
      <c r="D17" s="54">
        <v>36665</v>
      </c>
      <c r="E17" s="55" t="s">
        <v>240</v>
      </c>
      <c r="F17" s="53" t="s">
        <v>301</v>
      </c>
      <c r="G17" s="53" t="s">
        <v>175</v>
      </c>
      <c r="H17" s="53" t="s">
        <v>175</v>
      </c>
      <c r="I17" s="56">
        <v>0.15</v>
      </c>
      <c r="J17" s="80">
        <v>1167512.375</v>
      </c>
    </row>
    <row r="18" spans="2:10" x14ac:dyDescent="0.2">
      <c r="B18" s="83"/>
      <c r="C18" s="53" t="s">
        <v>73</v>
      </c>
      <c r="D18" s="54">
        <v>39037</v>
      </c>
      <c r="E18" s="55" t="s">
        <v>241</v>
      </c>
      <c r="F18" s="53" t="s">
        <v>301</v>
      </c>
      <c r="G18" s="53" t="s">
        <v>175</v>
      </c>
      <c r="H18" s="53" t="s">
        <v>175</v>
      </c>
      <c r="I18" s="56">
        <v>0.09</v>
      </c>
      <c r="J18" s="80">
        <v>1063420.375</v>
      </c>
    </row>
    <row r="19" spans="2:10" x14ac:dyDescent="0.2">
      <c r="B19" s="81" t="s">
        <v>194</v>
      </c>
      <c r="C19" s="63"/>
      <c r="D19" s="70"/>
      <c r="E19" s="71"/>
      <c r="F19" s="71"/>
      <c r="G19" s="71"/>
      <c r="H19" s="63"/>
      <c r="I19" s="71"/>
      <c r="J19" s="84"/>
    </row>
    <row r="20" spans="2:10" x14ac:dyDescent="0.2">
      <c r="B20" s="83"/>
      <c r="C20" s="53" t="s">
        <v>76</v>
      </c>
      <c r="D20" s="54">
        <v>36672</v>
      </c>
      <c r="E20" s="55" t="s">
        <v>127</v>
      </c>
      <c r="F20" s="53" t="s">
        <v>301</v>
      </c>
      <c r="G20" s="53" t="s">
        <v>174</v>
      </c>
      <c r="H20" s="53" t="s">
        <v>174</v>
      </c>
      <c r="I20" s="56">
        <v>0.2</v>
      </c>
      <c r="J20" s="80">
        <v>1964132.75</v>
      </c>
    </row>
    <row r="21" spans="2:10" x14ac:dyDescent="0.2">
      <c r="B21" s="81" t="s">
        <v>193</v>
      </c>
      <c r="C21" s="63"/>
      <c r="D21" s="70"/>
      <c r="E21" s="71"/>
      <c r="F21" s="71"/>
      <c r="G21" s="71"/>
      <c r="H21" s="63"/>
      <c r="I21" s="71"/>
      <c r="J21" s="84"/>
    </row>
    <row r="22" spans="2:10" x14ac:dyDescent="0.2">
      <c r="B22" s="83"/>
      <c r="C22" s="53" t="s">
        <v>77</v>
      </c>
      <c r="D22" s="54">
        <v>36672</v>
      </c>
      <c r="E22" s="55" t="s">
        <v>128</v>
      </c>
      <c r="F22" s="53" t="s">
        <v>301</v>
      </c>
      <c r="G22" s="53" t="s">
        <v>176</v>
      </c>
      <c r="H22" s="53" t="s">
        <v>176</v>
      </c>
      <c r="I22" s="56">
        <v>0.2</v>
      </c>
      <c r="J22" s="80">
        <v>2716284.75</v>
      </c>
    </row>
    <row r="23" spans="2:10" x14ac:dyDescent="0.2">
      <c r="B23" s="77" t="s">
        <v>117</v>
      </c>
      <c r="C23" s="63"/>
      <c r="D23" s="64"/>
      <c r="E23" s="65"/>
      <c r="F23" s="63"/>
      <c r="G23" s="63"/>
      <c r="H23" s="63"/>
      <c r="I23" s="66"/>
      <c r="J23" s="82"/>
    </row>
    <row r="24" spans="2:10" x14ac:dyDescent="0.2">
      <c r="B24" s="83"/>
      <c r="C24" s="53" t="s">
        <v>84</v>
      </c>
      <c r="D24" s="54">
        <v>34823</v>
      </c>
      <c r="E24" s="55" t="s">
        <v>242</v>
      </c>
      <c r="F24" s="53" t="s">
        <v>301</v>
      </c>
      <c r="G24" s="53" t="s">
        <v>359</v>
      </c>
      <c r="H24" s="53" t="s">
        <v>359</v>
      </c>
      <c r="I24" s="56">
        <v>0.25</v>
      </c>
      <c r="J24" s="80">
        <v>1517127.375</v>
      </c>
    </row>
    <row r="25" spans="2:10" x14ac:dyDescent="0.2">
      <c r="B25" s="81" t="s">
        <v>119</v>
      </c>
      <c r="C25" s="63"/>
      <c r="D25" s="64"/>
      <c r="E25" s="65"/>
      <c r="F25" s="63"/>
      <c r="G25" s="63"/>
      <c r="H25" s="63"/>
      <c r="I25" s="66"/>
      <c r="J25" s="82"/>
    </row>
    <row r="26" spans="2:10" x14ac:dyDescent="0.2">
      <c r="B26" s="83"/>
      <c r="C26" s="53" t="s">
        <v>89</v>
      </c>
      <c r="D26" s="54">
        <v>36672</v>
      </c>
      <c r="E26" s="55" t="s">
        <v>243</v>
      </c>
      <c r="F26" s="53" t="s">
        <v>301</v>
      </c>
      <c r="G26" s="53" t="s">
        <v>358</v>
      </c>
      <c r="H26" s="53" t="s">
        <v>358</v>
      </c>
      <c r="I26" s="56">
        <v>0.2</v>
      </c>
      <c r="J26" s="80">
        <v>32270708</v>
      </c>
    </row>
    <row r="27" spans="2:10" x14ac:dyDescent="0.2">
      <c r="B27" s="83"/>
      <c r="C27" s="53" t="s">
        <v>88</v>
      </c>
      <c r="D27" s="54">
        <v>36735</v>
      </c>
      <c r="E27" s="55" t="s">
        <v>276</v>
      </c>
      <c r="F27" s="53" t="s">
        <v>301</v>
      </c>
      <c r="G27" s="53" t="s">
        <v>362</v>
      </c>
      <c r="H27" s="53" t="s">
        <v>360</v>
      </c>
      <c r="I27" s="56">
        <v>0.25</v>
      </c>
      <c r="J27" s="80">
        <v>1793839.5</v>
      </c>
    </row>
    <row r="28" spans="2:10" x14ac:dyDescent="0.2">
      <c r="B28" s="83"/>
      <c r="C28" s="53" t="s">
        <v>87</v>
      </c>
      <c r="D28" s="54">
        <v>36735</v>
      </c>
      <c r="E28" s="55" t="s">
        <v>129</v>
      </c>
      <c r="F28" s="53" t="s">
        <v>301</v>
      </c>
      <c r="G28" s="53" t="s">
        <v>355</v>
      </c>
      <c r="H28" s="53" t="s">
        <v>361</v>
      </c>
      <c r="I28" s="56">
        <v>0.25</v>
      </c>
      <c r="J28" s="80">
        <v>836166.8125</v>
      </c>
    </row>
    <row r="29" spans="2:10" x14ac:dyDescent="0.2">
      <c r="B29" s="77" t="s">
        <v>44</v>
      </c>
      <c r="C29" s="63"/>
      <c r="D29" s="64"/>
      <c r="E29" s="65"/>
      <c r="F29" s="63"/>
      <c r="G29" s="63"/>
      <c r="H29" s="63"/>
      <c r="I29" s="66"/>
      <c r="J29" s="82"/>
    </row>
    <row r="30" spans="2:10" x14ac:dyDescent="0.2">
      <c r="B30" s="83"/>
      <c r="C30" s="53" t="s">
        <v>55</v>
      </c>
      <c r="D30" s="54">
        <v>36151</v>
      </c>
      <c r="E30" s="55" t="s">
        <v>244</v>
      </c>
      <c r="F30" s="53" t="s">
        <v>301</v>
      </c>
      <c r="G30" s="53" t="s">
        <v>175</v>
      </c>
      <c r="H30" s="53" t="s">
        <v>15</v>
      </c>
      <c r="I30" s="56">
        <v>0.14000000000000001</v>
      </c>
      <c r="J30" s="80">
        <v>6139313.5</v>
      </c>
    </row>
    <row r="31" spans="2:10" x14ac:dyDescent="0.2">
      <c r="B31" s="83"/>
      <c r="C31" s="53" t="s">
        <v>56</v>
      </c>
      <c r="D31" s="54">
        <v>36151</v>
      </c>
      <c r="E31" s="55" t="s">
        <v>245</v>
      </c>
      <c r="F31" s="53" t="s">
        <v>301</v>
      </c>
      <c r="G31" s="53" t="s">
        <v>175</v>
      </c>
      <c r="H31" s="53" t="s">
        <v>125</v>
      </c>
      <c r="I31" s="56">
        <v>0.14000000000000001</v>
      </c>
      <c r="J31" s="80">
        <v>14677262</v>
      </c>
    </row>
    <row r="32" spans="2:10" x14ac:dyDescent="0.2">
      <c r="B32" s="83"/>
      <c r="C32" s="53" t="s">
        <v>58</v>
      </c>
      <c r="D32" s="54">
        <v>36151</v>
      </c>
      <c r="E32" s="55" t="s">
        <v>246</v>
      </c>
      <c r="F32" s="53" t="s">
        <v>301</v>
      </c>
      <c r="G32" s="53" t="s">
        <v>175</v>
      </c>
      <c r="H32" s="53" t="s">
        <v>7</v>
      </c>
      <c r="I32" s="56">
        <v>0.14000000000000001</v>
      </c>
      <c r="J32" s="80">
        <v>14810000</v>
      </c>
    </row>
    <row r="33" spans="2:10" x14ac:dyDescent="0.2">
      <c r="B33" s="83"/>
      <c r="C33" s="53" t="s">
        <v>60</v>
      </c>
      <c r="D33" s="54">
        <v>36151</v>
      </c>
      <c r="E33" s="55" t="s">
        <v>247</v>
      </c>
      <c r="F33" s="53" t="s">
        <v>301</v>
      </c>
      <c r="G33" s="53" t="s">
        <v>175</v>
      </c>
      <c r="H33" s="53" t="s">
        <v>173</v>
      </c>
      <c r="I33" s="56">
        <v>0.14000000000000001</v>
      </c>
      <c r="J33" s="80">
        <v>78965544</v>
      </c>
    </row>
    <row r="34" spans="2:10" x14ac:dyDescent="0.2">
      <c r="B34" s="83"/>
      <c r="C34" s="53" t="s">
        <v>63</v>
      </c>
      <c r="D34" s="54">
        <v>36151</v>
      </c>
      <c r="E34" s="55" t="s">
        <v>248</v>
      </c>
      <c r="F34" s="53" t="s">
        <v>301</v>
      </c>
      <c r="G34" s="53" t="s">
        <v>175</v>
      </c>
      <c r="H34" s="53" t="s">
        <v>10</v>
      </c>
      <c r="I34" s="56">
        <v>0.14000000000000001</v>
      </c>
      <c r="J34" s="80">
        <v>11044192</v>
      </c>
    </row>
    <row r="35" spans="2:10" x14ac:dyDescent="0.2">
      <c r="B35" s="83"/>
      <c r="C35" s="53" t="s">
        <v>66</v>
      </c>
      <c r="D35" s="54">
        <v>36151</v>
      </c>
      <c r="E35" s="55" t="s">
        <v>249</v>
      </c>
      <c r="F35" s="53" t="s">
        <v>301</v>
      </c>
      <c r="G35" s="53" t="s">
        <v>175</v>
      </c>
      <c r="H35" s="53" t="s">
        <v>9</v>
      </c>
      <c r="I35" s="56">
        <v>0.14000000000000001</v>
      </c>
      <c r="J35" s="80">
        <v>11705105</v>
      </c>
    </row>
    <row r="36" spans="2:10" x14ac:dyDescent="0.2">
      <c r="B36" s="83"/>
      <c r="C36" s="53" t="s">
        <v>82</v>
      </c>
      <c r="D36" s="54">
        <v>36151</v>
      </c>
      <c r="E36" s="55" t="s">
        <v>250</v>
      </c>
      <c r="F36" s="53" t="s">
        <v>301</v>
      </c>
      <c r="G36" s="53" t="s">
        <v>175</v>
      </c>
      <c r="H36" s="53" t="s">
        <v>4</v>
      </c>
      <c r="I36" s="56">
        <v>0.14000000000000001</v>
      </c>
      <c r="J36" s="80">
        <v>5571907.5</v>
      </c>
    </row>
    <row r="37" spans="2:10" x14ac:dyDescent="0.2">
      <c r="B37" s="83"/>
      <c r="C37" s="53" t="s">
        <v>94</v>
      </c>
      <c r="D37" s="54">
        <v>36151</v>
      </c>
      <c r="E37" s="55" t="s">
        <v>251</v>
      </c>
      <c r="F37" s="53" t="s">
        <v>301</v>
      </c>
      <c r="G37" s="53" t="s">
        <v>175</v>
      </c>
      <c r="H37" s="53" t="s">
        <v>13</v>
      </c>
      <c r="I37" s="56">
        <v>0.14000000000000001</v>
      </c>
      <c r="J37" s="80">
        <v>9762531</v>
      </c>
    </row>
    <row r="38" spans="2:10" x14ac:dyDescent="0.2">
      <c r="B38" s="83"/>
      <c r="C38" s="53" t="s">
        <v>96</v>
      </c>
      <c r="D38" s="54">
        <v>36151</v>
      </c>
      <c r="E38" s="55" t="s">
        <v>252</v>
      </c>
      <c r="F38" s="53" t="s">
        <v>301</v>
      </c>
      <c r="G38" s="53" t="s">
        <v>175</v>
      </c>
      <c r="H38" s="53" t="s">
        <v>6</v>
      </c>
      <c r="I38" s="56">
        <v>0.14000000000000001</v>
      </c>
      <c r="J38" s="80">
        <v>17455286</v>
      </c>
    </row>
    <row r="39" spans="2:10" x14ac:dyDescent="0.2">
      <c r="B39" s="81" t="s">
        <v>307</v>
      </c>
      <c r="C39" s="52"/>
      <c r="D39" s="67"/>
      <c r="E39" s="68"/>
      <c r="F39" s="52"/>
      <c r="G39" s="52"/>
      <c r="H39" s="52"/>
      <c r="I39" s="69"/>
      <c r="J39" s="85"/>
    </row>
    <row r="40" spans="2:10" x14ac:dyDescent="0.2">
      <c r="B40" s="86"/>
      <c r="C40" s="58" t="s">
        <v>68</v>
      </c>
      <c r="D40" s="59">
        <v>39149</v>
      </c>
      <c r="E40" s="60" t="s">
        <v>120</v>
      </c>
      <c r="F40" s="58" t="s">
        <v>350</v>
      </c>
      <c r="G40" s="58" t="s">
        <v>323</v>
      </c>
      <c r="H40" s="58" t="s">
        <v>323</v>
      </c>
      <c r="I40" s="61">
        <v>0.13</v>
      </c>
      <c r="J40" s="76">
        <v>2098954</v>
      </c>
    </row>
    <row r="41" spans="2:10" x14ac:dyDescent="0.2">
      <c r="B41" s="81" t="s">
        <v>308</v>
      </c>
      <c r="C41" s="63"/>
      <c r="D41" s="64"/>
      <c r="E41" s="65"/>
      <c r="F41" s="63"/>
      <c r="G41" s="63"/>
      <c r="H41" s="63"/>
      <c r="I41" s="66"/>
      <c r="J41" s="82"/>
    </row>
    <row r="42" spans="2:10" x14ac:dyDescent="0.2">
      <c r="B42" s="87"/>
      <c r="C42" s="53" t="s">
        <v>67</v>
      </c>
      <c r="D42" s="54">
        <v>39428</v>
      </c>
      <c r="E42" s="55" t="s">
        <v>133</v>
      </c>
      <c r="F42" s="53" t="s">
        <v>350</v>
      </c>
      <c r="G42" s="53" t="s">
        <v>178</v>
      </c>
      <c r="H42" s="53" t="s">
        <v>322</v>
      </c>
      <c r="I42" s="56">
        <v>0.4</v>
      </c>
      <c r="J42" s="80">
        <v>780553.0625</v>
      </c>
    </row>
    <row r="43" spans="2:10" x14ac:dyDescent="0.2">
      <c r="B43" s="77" t="s">
        <v>177</v>
      </c>
      <c r="C43" s="63"/>
      <c r="D43" s="64"/>
      <c r="E43" s="65"/>
      <c r="F43" s="63"/>
      <c r="G43" s="63"/>
      <c r="H43" s="63"/>
      <c r="I43" s="66"/>
      <c r="J43" s="82"/>
    </row>
    <row r="44" spans="2:10" x14ac:dyDescent="0.2">
      <c r="B44" s="83"/>
      <c r="C44" s="53" t="s">
        <v>59</v>
      </c>
      <c r="D44" s="54">
        <v>36738</v>
      </c>
      <c r="E44" s="55" t="s">
        <v>253</v>
      </c>
      <c r="F44" s="53" t="s">
        <v>350</v>
      </c>
      <c r="G44" s="53" t="s">
        <v>178</v>
      </c>
      <c r="H44" s="53" t="s">
        <v>201</v>
      </c>
      <c r="I44" s="56">
        <v>0.48</v>
      </c>
      <c r="J44" s="80">
        <v>4710315.5</v>
      </c>
    </row>
    <row r="45" spans="2:10" x14ac:dyDescent="0.2">
      <c r="B45" s="83"/>
      <c r="C45" s="53" t="s">
        <v>69</v>
      </c>
      <c r="D45" s="54">
        <v>37120</v>
      </c>
      <c r="E45" s="55" t="s">
        <v>254</v>
      </c>
      <c r="F45" s="53" t="s">
        <v>350</v>
      </c>
      <c r="G45" s="53" t="s">
        <v>178</v>
      </c>
      <c r="H45" s="53" t="s">
        <v>8</v>
      </c>
      <c r="I45" s="56">
        <v>0.33</v>
      </c>
      <c r="J45" s="80">
        <v>17915828</v>
      </c>
    </row>
    <row r="46" spans="2:10" x14ac:dyDescent="0.2">
      <c r="B46" s="83"/>
      <c r="C46" s="53" t="s">
        <v>48</v>
      </c>
      <c r="D46" s="54">
        <v>39675</v>
      </c>
      <c r="E46" s="55" t="s">
        <v>134</v>
      </c>
      <c r="F46" s="53" t="s">
        <v>350</v>
      </c>
      <c r="G46" s="53" t="s">
        <v>178</v>
      </c>
      <c r="H46" s="53" t="s">
        <v>123</v>
      </c>
      <c r="I46" s="56">
        <v>0.69</v>
      </c>
      <c r="J46" s="80">
        <v>1255323.75</v>
      </c>
    </row>
    <row r="47" spans="2:10" x14ac:dyDescent="0.2">
      <c r="B47" s="77" t="s">
        <v>179</v>
      </c>
      <c r="C47" s="63"/>
      <c r="D47" s="64"/>
      <c r="E47" s="65"/>
      <c r="F47" s="63"/>
      <c r="G47" s="63"/>
      <c r="H47" s="63"/>
      <c r="I47" s="66"/>
      <c r="J47" s="82"/>
    </row>
    <row r="48" spans="2:10" x14ac:dyDescent="0.2">
      <c r="B48" s="83"/>
      <c r="C48" s="53" t="s">
        <v>95</v>
      </c>
      <c r="D48" s="54">
        <v>35142</v>
      </c>
      <c r="E48" s="55" t="s">
        <v>130</v>
      </c>
      <c r="F48" s="53" t="s">
        <v>350</v>
      </c>
      <c r="G48" s="53" t="s">
        <v>178</v>
      </c>
      <c r="H48" s="53" t="s">
        <v>18</v>
      </c>
      <c r="I48" s="56">
        <v>0.48</v>
      </c>
      <c r="J48" s="80">
        <v>2024846.75</v>
      </c>
    </row>
    <row r="49" spans="2:10" x14ac:dyDescent="0.2">
      <c r="B49" s="83"/>
      <c r="C49" s="53" t="s">
        <v>92</v>
      </c>
      <c r="D49" s="54">
        <v>35142</v>
      </c>
      <c r="E49" s="55" t="s">
        <v>131</v>
      </c>
      <c r="F49" s="53" t="s">
        <v>350</v>
      </c>
      <c r="G49" s="53" t="s">
        <v>178</v>
      </c>
      <c r="H49" s="53" t="s">
        <v>30</v>
      </c>
      <c r="I49" s="56">
        <v>0.48</v>
      </c>
      <c r="J49" s="80">
        <v>866715.9375</v>
      </c>
    </row>
    <row r="50" spans="2:10" x14ac:dyDescent="0.2">
      <c r="B50" s="83"/>
      <c r="C50" s="53" t="s">
        <v>70</v>
      </c>
      <c r="D50" s="54">
        <v>35142</v>
      </c>
      <c r="E50" s="55" t="s">
        <v>255</v>
      </c>
      <c r="F50" s="53" t="s">
        <v>350</v>
      </c>
      <c r="G50" s="53" t="s">
        <v>178</v>
      </c>
      <c r="H50" s="53" t="s">
        <v>20</v>
      </c>
      <c r="I50" s="56">
        <v>0.48</v>
      </c>
      <c r="J50" s="80">
        <v>1302638.125</v>
      </c>
    </row>
    <row r="51" spans="2:10" x14ac:dyDescent="0.2">
      <c r="B51" s="83"/>
      <c r="C51" s="53" t="s">
        <v>71</v>
      </c>
      <c r="D51" s="54">
        <v>35142</v>
      </c>
      <c r="E51" s="55" t="s">
        <v>256</v>
      </c>
      <c r="F51" s="53" t="s">
        <v>350</v>
      </c>
      <c r="G51" s="53" t="s">
        <v>178</v>
      </c>
      <c r="H51" s="53" t="s">
        <v>12</v>
      </c>
      <c r="I51" s="56">
        <v>0.48</v>
      </c>
      <c r="J51" s="80">
        <v>7568871</v>
      </c>
    </row>
    <row r="52" spans="2:10" x14ac:dyDescent="0.2">
      <c r="B52" s="83"/>
      <c r="C52" s="53" t="s">
        <v>64</v>
      </c>
      <c r="D52" s="54">
        <v>35142</v>
      </c>
      <c r="E52" s="55" t="s">
        <v>257</v>
      </c>
      <c r="F52" s="53" t="s">
        <v>350</v>
      </c>
      <c r="G52" s="53" t="s">
        <v>178</v>
      </c>
      <c r="H52" s="53" t="s">
        <v>17</v>
      </c>
      <c r="I52" s="56">
        <v>0.48</v>
      </c>
      <c r="J52" s="80">
        <v>3144649.75</v>
      </c>
    </row>
    <row r="53" spans="2:10" x14ac:dyDescent="0.2">
      <c r="B53" s="83"/>
      <c r="C53" s="53" t="s">
        <v>61</v>
      </c>
      <c r="D53" s="54">
        <v>35142</v>
      </c>
      <c r="E53" s="55" t="s">
        <v>258</v>
      </c>
      <c r="F53" s="53" t="s">
        <v>350</v>
      </c>
      <c r="G53" s="53" t="s">
        <v>178</v>
      </c>
      <c r="H53" s="53" t="s">
        <v>31</v>
      </c>
      <c r="I53" s="56">
        <v>0.48</v>
      </c>
      <c r="J53" s="80">
        <v>700820.25</v>
      </c>
    </row>
    <row r="54" spans="2:10" x14ac:dyDescent="0.2">
      <c r="B54" s="83"/>
      <c r="C54" s="53" t="s">
        <v>62</v>
      </c>
      <c r="D54" s="54">
        <v>35142</v>
      </c>
      <c r="E54" s="55" t="s">
        <v>259</v>
      </c>
      <c r="F54" s="53" t="s">
        <v>350</v>
      </c>
      <c r="G54" s="53" t="s">
        <v>178</v>
      </c>
      <c r="H54" s="53" t="s">
        <v>23</v>
      </c>
      <c r="I54" s="56">
        <v>0.48</v>
      </c>
      <c r="J54" s="80">
        <v>3531384.75</v>
      </c>
    </row>
    <row r="55" spans="2:10" x14ac:dyDescent="0.2">
      <c r="B55" s="83"/>
      <c r="C55" s="53" t="s">
        <v>49</v>
      </c>
      <c r="D55" s="54">
        <v>35142</v>
      </c>
      <c r="E55" s="55" t="s">
        <v>260</v>
      </c>
      <c r="F55" s="53" t="s">
        <v>350</v>
      </c>
      <c r="G55" s="53" t="s">
        <v>178</v>
      </c>
      <c r="H55" s="53" t="s">
        <v>25</v>
      </c>
      <c r="I55" s="56">
        <v>0.48</v>
      </c>
      <c r="J55" s="80">
        <v>2098885</v>
      </c>
    </row>
    <row r="56" spans="2:10" x14ac:dyDescent="0.2">
      <c r="B56" s="83"/>
      <c r="C56" s="53" t="s">
        <v>53</v>
      </c>
      <c r="D56" s="54">
        <v>35142</v>
      </c>
      <c r="E56" s="55" t="s">
        <v>261</v>
      </c>
      <c r="F56" s="53" t="s">
        <v>350</v>
      </c>
      <c r="G56" s="53" t="s">
        <v>178</v>
      </c>
      <c r="H56" s="53" t="s">
        <v>26</v>
      </c>
      <c r="I56" s="56">
        <v>0.48</v>
      </c>
      <c r="J56" s="80">
        <v>2560754.75</v>
      </c>
    </row>
    <row r="57" spans="2:10" x14ac:dyDescent="0.2">
      <c r="B57" s="83"/>
      <c r="C57" s="53" t="s">
        <v>86</v>
      </c>
      <c r="D57" s="54">
        <v>35142</v>
      </c>
      <c r="E57" s="55" t="s">
        <v>262</v>
      </c>
      <c r="F57" s="53" t="s">
        <v>350</v>
      </c>
      <c r="G57" s="53" t="s">
        <v>178</v>
      </c>
      <c r="H57" s="53" t="s">
        <v>28</v>
      </c>
      <c r="I57" s="56">
        <v>0.48</v>
      </c>
      <c r="J57" s="80">
        <v>648463.125</v>
      </c>
    </row>
    <row r="58" spans="2:10" x14ac:dyDescent="0.2">
      <c r="B58" s="83"/>
      <c r="C58" s="53" t="s">
        <v>91</v>
      </c>
      <c r="D58" s="54">
        <v>35142</v>
      </c>
      <c r="E58" s="55" t="s">
        <v>132</v>
      </c>
      <c r="F58" s="53" t="s">
        <v>350</v>
      </c>
      <c r="G58" s="53" t="s">
        <v>178</v>
      </c>
      <c r="H58" s="53" t="s">
        <v>29</v>
      </c>
      <c r="I58" s="56">
        <v>0.48</v>
      </c>
      <c r="J58" s="80">
        <v>1217866.375</v>
      </c>
    </row>
    <row r="59" spans="2:10" x14ac:dyDescent="0.2">
      <c r="B59" s="83"/>
      <c r="C59" s="53" t="s">
        <v>81</v>
      </c>
      <c r="D59" s="54">
        <v>35142</v>
      </c>
      <c r="E59" s="55" t="s">
        <v>263</v>
      </c>
      <c r="F59" s="53" t="s">
        <v>350</v>
      </c>
      <c r="G59" s="53" t="s">
        <v>178</v>
      </c>
      <c r="H59" s="53" t="s">
        <v>24</v>
      </c>
      <c r="I59" s="56">
        <v>0.48</v>
      </c>
      <c r="J59" s="80">
        <v>611924.875</v>
      </c>
    </row>
    <row r="60" spans="2:10" x14ac:dyDescent="0.2">
      <c r="B60" s="83"/>
      <c r="C60" s="53" t="s">
        <v>83</v>
      </c>
      <c r="D60" s="54">
        <v>35142</v>
      </c>
      <c r="E60" s="55" t="s">
        <v>264</v>
      </c>
      <c r="F60" s="53" t="s">
        <v>350</v>
      </c>
      <c r="G60" s="53" t="s">
        <v>178</v>
      </c>
      <c r="H60" s="53" t="s">
        <v>16</v>
      </c>
      <c r="I60" s="56">
        <v>0.48</v>
      </c>
      <c r="J60" s="80">
        <v>5405418.5</v>
      </c>
    </row>
    <row r="61" spans="2:10" x14ac:dyDescent="0.2">
      <c r="B61" s="77" t="s">
        <v>111</v>
      </c>
      <c r="C61" s="63"/>
      <c r="D61" s="64"/>
      <c r="E61" s="65"/>
      <c r="F61" s="63"/>
      <c r="G61" s="63"/>
      <c r="H61" s="63"/>
      <c r="I61" s="66"/>
      <c r="J61" s="82"/>
    </row>
    <row r="62" spans="2:10" x14ac:dyDescent="0.2">
      <c r="B62" s="83"/>
      <c r="C62" s="53" t="s">
        <v>57</v>
      </c>
      <c r="D62" s="54">
        <v>37722</v>
      </c>
      <c r="E62" s="55" t="s">
        <v>135</v>
      </c>
      <c r="F62" s="53" t="s">
        <v>350</v>
      </c>
      <c r="G62" s="53" t="s">
        <v>111</v>
      </c>
      <c r="H62" s="53" t="s">
        <v>111</v>
      </c>
      <c r="I62" s="56">
        <v>0.69</v>
      </c>
      <c r="J62" s="80">
        <v>65619376</v>
      </c>
    </row>
    <row r="63" spans="2:10" x14ac:dyDescent="0.2">
      <c r="B63" s="83"/>
      <c r="C63" s="53" t="s">
        <v>80</v>
      </c>
      <c r="D63" s="54">
        <v>37190</v>
      </c>
      <c r="E63" s="55" t="s">
        <v>265</v>
      </c>
      <c r="F63" s="53" t="s">
        <v>350</v>
      </c>
      <c r="G63" s="53" t="s">
        <v>111</v>
      </c>
      <c r="H63" s="53" t="s">
        <v>124</v>
      </c>
      <c r="I63" s="56">
        <v>0.49</v>
      </c>
      <c r="J63" s="80">
        <v>2019671.25</v>
      </c>
    </row>
    <row r="64" spans="2:10" x14ac:dyDescent="0.2">
      <c r="B64" s="77" t="s">
        <v>180</v>
      </c>
      <c r="C64" s="63"/>
      <c r="D64" s="64"/>
      <c r="E64" s="65"/>
      <c r="F64" s="63"/>
      <c r="G64" s="63"/>
      <c r="H64" s="63"/>
      <c r="I64" s="66"/>
      <c r="J64" s="82"/>
    </row>
    <row r="65" spans="2:10" x14ac:dyDescent="0.2">
      <c r="B65" s="83"/>
      <c r="C65" s="53" t="s">
        <v>50</v>
      </c>
      <c r="D65" s="54">
        <v>36721</v>
      </c>
      <c r="E65" s="55" t="s">
        <v>266</v>
      </c>
      <c r="F65" s="53" t="s">
        <v>350</v>
      </c>
      <c r="G65" s="53" t="s">
        <v>111</v>
      </c>
      <c r="H65" s="53" t="s">
        <v>11</v>
      </c>
      <c r="I65" s="56">
        <v>0.62</v>
      </c>
      <c r="J65" s="80">
        <v>21188746</v>
      </c>
    </row>
    <row r="66" spans="2:10" x14ac:dyDescent="0.2">
      <c r="B66" s="83"/>
      <c r="C66" s="53" t="s">
        <v>72</v>
      </c>
      <c r="D66" s="54">
        <v>36658</v>
      </c>
      <c r="E66" s="55" t="s">
        <v>267</v>
      </c>
      <c r="F66" s="53" t="s">
        <v>350</v>
      </c>
      <c r="G66" s="53" t="s">
        <v>111</v>
      </c>
      <c r="H66" s="53" t="s">
        <v>22</v>
      </c>
      <c r="I66" s="56">
        <v>0.62</v>
      </c>
      <c r="J66" s="80">
        <v>2592779.75</v>
      </c>
    </row>
    <row r="67" spans="2:10" x14ac:dyDescent="0.2">
      <c r="B67" s="83"/>
      <c r="C67" s="53" t="s">
        <v>65</v>
      </c>
      <c r="D67" s="54">
        <v>39512</v>
      </c>
      <c r="E67" s="55" t="s">
        <v>268</v>
      </c>
      <c r="F67" s="53" t="s">
        <v>350</v>
      </c>
      <c r="G67" s="53" t="s">
        <v>111</v>
      </c>
      <c r="H67" s="53" t="s">
        <v>19</v>
      </c>
      <c r="I67" s="56">
        <v>0.82</v>
      </c>
      <c r="J67" s="80">
        <v>1007674.125</v>
      </c>
    </row>
    <row r="68" spans="2:10" x14ac:dyDescent="0.2">
      <c r="B68" s="83"/>
      <c r="C68" s="53" t="s">
        <v>54</v>
      </c>
      <c r="D68" s="54">
        <v>38268</v>
      </c>
      <c r="E68" s="55" t="s">
        <v>269</v>
      </c>
      <c r="F68" s="53" t="s">
        <v>350</v>
      </c>
      <c r="G68" s="53" t="s">
        <v>111</v>
      </c>
      <c r="H68" s="53" t="s">
        <v>5</v>
      </c>
      <c r="I68" s="56">
        <v>0.73</v>
      </c>
      <c r="J68" s="80">
        <v>18682884</v>
      </c>
    </row>
    <row r="69" spans="2:10" x14ac:dyDescent="0.2">
      <c r="B69" s="83"/>
      <c r="C69" s="53" t="s">
        <v>90</v>
      </c>
      <c r="D69" s="54">
        <v>37659</v>
      </c>
      <c r="E69" s="55" t="s">
        <v>270</v>
      </c>
      <c r="F69" s="53" t="s">
        <v>350</v>
      </c>
      <c r="G69" s="53" t="s">
        <v>111</v>
      </c>
      <c r="H69" s="53" t="s">
        <v>27</v>
      </c>
      <c r="I69" s="56">
        <v>0.62</v>
      </c>
      <c r="J69" s="80">
        <v>595802</v>
      </c>
    </row>
    <row r="70" spans="2:10" x14ac:dyDescent="0.2">
      <c r="B70" s="83"/>
      <c r="C70" s="53" t="s">
        <v>93</v>
      </c>
      <c r="D70" s="54">
        <v>36700</v>
      </c>
      <c r="E70" s="55" t="s">
        <v>271</v>
      </c>
      <c r="F70" s="53" t="s">
        <v>350</v>
      </c>
      <c r="G70" s="53" t="s">
        <v>111</v>
      </c>
      <c r="H70" s="53" t="s">
        <v>21</v>
      </c>
      <c r="I70" s="56">
        <v>0.62</v>
      </c>
      <c r="J70" s="80">
        <v>4170768.5</v>
      </c>
    </row>
    <row r="71" spans="2:10" x14ac:dyDescent="0.2">
      <c r="B71" s="77" t="s">
        <v>342</v>
      </c>
      <c r="C71" s="63"/>
      <c r="D71" s="64"/>
      <c r="E71" s="65"/>
      <c r="F71" s="63"/>
      <c r="G71" s="63"/>
      <c r="H71" s="63"/>
      <c r="I71" s="66"/>
      <c r="J71" s="82"/>
    </row>
    <row r="72" spans="2:10" x14ac:dyDescent="0.2">
      <c r="B72" s="83"/>
      <c r="C72" s="53" t="s">
        <v>109</v>
      </c>
      <c r="D72" s="54">
        <v>37463</v>
      </c>
      <c r="E72" s="55" t="s">
        <v>309</v>
      </c>
      <c r="F72" s="53" t="s">
        <v>303</v>
      </c>
      <c r="G72" s="53" t="s">
        <v>356</v>
      </c>
      <c r="H72" s="53" t="s">
        <v>206</v>
      </c>
      <c r="I72" s="56">
        <v>0.15</v>
      </c>
      <c r="J72" s="80">
        <v>10293708</v>
      </c>
    </row>
    <row r="73" spans="2:10" x14ac:dyDescent="0.2">
      <c r="B73" s="83"/>
      <c r="C73" s="53" t="s">
        <v>104</v>
      </c>
      <c r="D73" s="54">
        <v>37463</v>
      </c>
      <c r="E73" s="55" t="s">
        <v>325</v>
      </c>
      <c r="F73" s="53" t="s">
        <v>303</v>
      </c>
      <c r="G73" s="53" t="s">
        <v>356</v>
      </c>
      <c r="H73" s="53" t="s">
        <v>205</v>
      </c>
      <c r="I73" s="56">
        <v>0.15</v>
      </c>
      <c r="J73" s="80">
        <v>2094168.25</v>
      </c>
    </row>
    <row r="74" spans="2:10" x14ac:dyDescent="0.2">
      <c r="B74" s="83"/>
      <c r="C74" s="53" t="s">
        <v>103</v>
      </c>
      <c r="D74" s="54">
        <v>37463</v>
      </c>
      <c r="E74" s="55" t="s">
        <v>326</v>
      </c>
      <c r="F74" s="53" t="s">
        <v>303</v>
      </c>
      <c r="G74" s="53" t="s">
        <v>356</v>
      </c>
      <c r="H74" s="53" t="s">
        <v>204</v>
      </c>
      <c r="I74" s="56">
        <v>0.15</v>
      </c>
      <c r="J74" s="80">
        <v>2046093.625</v>
      </c>
    </row>
    <row r="75" spans="2:10" x14ac:dyDescent="0.2">
      <c r="B75" s="77" t="s">
        <v>343</v>
      </c>
      <c r="C75" s="63"/>
      <c r="D75" s="64"/>
      <c r="E75" s="65"/>
      <c r="F75" s="63"/>
      <c r="G75" s="63"/>
      <c r="H75" s="63"/>
      <c r="I75" s="66"/>
      <c r="J75" s="82"/>
    </row>
    <row r="76" spans="2:10" x14ac:dyDescent="0.2">
      <c r="B76" s="83"/>
      <c r="C76" s="53" t="s">
        <v>99</v>
      </c>
      <c r="D76" s="54">
        <v>39360</v>
      </c>
      <c r="E76" s="55" t="s">
        <v>126</v>
      </c>
      <c r="F76" s="53" t="s">
        <v>303</v>
      </c>
      <c r="G76" s="53" t="s">
        <v>357</v>
      </c>
      <c r="H76" s="53" t="s">
        <v>37</v>
      </c>
      <c r="I76" s="56">
        <v>0.5</v>
      </c>
      <c r="J76" s="80">
        <v>837327.625</v>
      </c>
    </row>
    <row r="77" spans="2:10" x14ac:dyDescent="0.2">
      <c r="B77" s="83"/>
      <c r="C77" s="53" t="s">
        <v>105</v>
      </c>
      <c r="D77" s="54">
        <v>39435</v>
      </c>
      <c r="E77" s="55" t="s">
        <v>147</v>
      </c>
      <c r="F77" s="53" t="s">
        <v>303</v>
      </c>
      <c r="G77" s="53" t="s">
        <v>146</v>
      </c>
      <c r="H77" s="53" t="s">
        <v>277</v>
      </c>
      <c r="I77" s="56">
        <v>0.4</v>
      </c>
      <c r="J77" s="80">
        <v>2521084.25</v>
      </c>
    </row>
    <row r="78" spans="2:10" x14ac:dyDescent="0.2">
      <c r="B78" s="83"/>
      <c r="C78" s="53" t="s">
        <v>101</v>
      </c>
      <c r="D78" s="54">
        <v>39366</v>
      </c>
      <c r="E78" s="55" t="s">
        <v>142</v>
      </c>
      <c r="F78" s="53" t="s">
        <v>303</v>
      </c>
      <c r="G78" s="53" t="s">
        <v>146</v>
      </c>
      <c r="H78" s="53" t="s">
        <v>281</v>
      </c>
      <c r="I78" s="56">
        <v>0.5</v>
      </c>
      <c r="J78" s="80">
        <v>1756434</v>
      </c>
    </row>
    <row r="79" spans="2:10" x14ac:dyDescent="0.2">
      <c r="B79" s="77" t="s">
        <v>344</v>
      </c>
      <c r="C79" s="63"/>
      <c r="D79" s="64"/>
      <c r="E79" s="65"/>
      <c r="F79" s="63"/>
      <c r="G79" s="63"/>
      <c r="H79" s="63"/>
      <c r="I79" s="66"/>
      <c r="J79" s="88"/>
    </row>
    <row r="80" spans="2:10" x14ac:dyDescent="0.2">
      <c r="B80" s="83"/>
      <c r="C80" s="53" t="s">
        <v>106</v>
      </c>
      <c r="D80" s="54">
        <v>37890</v>
      </c>
      <c r="E80" s="55" t="s">
        <v>190</v>
      </c>
      <c r="F80" s="53" t="s">
        <v>303</v>
      </c>
      <c r="G80" s="53" t="s">
        <v>39</v>
      </c>
      <c r="H80" s="53" t="s">
        <v>39</v>
      </c>
      <c r="I80" s="56">
        <v>0.05</v>
      </c>
      <c r="J80" s="80">
        <v>3037941</v>
      </c>
    </row>
    <row r="81" spans="2:10" x14ac:dyDescent="0.2">
      <c r="B81" s="83"/>
      <c r="C81" s="53" t="s">
        <v>100</v>
      </c>
      <c r="D81" s="54">
        <v>39182</v>
      </c>
      <c r="E81" s="55" t="s">
        <v>272</v>
      </c>
      <c r="F81" s="53" t="s">
        <v>303</v>
      </c>
      <c r="G81" s="53" t="s">
        <v>39</v>
      </c>
      <c r="H81" s="53" t="s">
        <v>210</v>
      </c>
      <c r="I81" s="56">
        <v>0.09</v>
      </c>
      <c r="J81" s="80">
        <v>1518868.875</v>
      </c>
    </row>
    <row r="82" spans="2:10" x14ac:dyDescent="0.2">
      <c r="B82" s="83"/>
      <c r="C82" s="53" t="s">
        <v>98</v>
      </c>
      <c r="D82" s="54">
        <v>39182</v>
      </c>
      <c r="E82" s="55" t="s">
        <v>143</v>
      </c>
      <c r="F82" s="53" t="s">
        <v>303</v>
      </c>
      <c r="G82" s="53" t="s">
        <v>39</v>
      </c>
      <c r="H82" s="53" t="s">
        <v>280</v>
      </c>
      <c r="I82" s="56">
        <v>0.09</v>
      </c>
      <c r="J82" s="80">
        <v>819595.125</v>
      </c>
    </row>
    <row r="83" spans="2:10" x14ac:dyDescent="0.2">
      <c r="B83" s="77" t="s">
        <v>345</v>
      </c>
      <c r="C83" s="63"/>
      <c r="D83" s="64"/>
      <c r="E83" s="65"/>
      <c r="F83" s="63"/>
      <c r="G83" s="63"/>
      <c r="H83" s="63"/>
      <c r="I83" s="66"/>
      <c r="J83" s="88"/>
    </row>
    <row r="84" spans="2:10" x14ac:dyDescent="0.2">
      <c r="B84" s="83"/>
      <c r="C84" s="53" t="s">
        <v>110</v>
      </c>
      <c r="D84" s="54">
        <v>39183</v>
      </c>
      <c r="E84" s="55" t="s">
        <v>138</v>
      </c>
      <c r="F84" s="53" t="s">
        <v>303</v>
      </c>
      <c r="G84" s="53" t="s">
        <v>35</v>
      </c>
      <c r="H84" s="53" t="s">
        <v>212</v>
      </c>
      <c r="I84" s="56">
        <v>0.5</v>
      </c>
      <c r="J84" s="80">
        <v>12582949</v>
      </c>
    </row>
    <row r="85" spans="2:10" x14ac:dyDescent="0.2">
      <c r="B85" s="77" t="s">
        <v>346</v>
      </c>
      <c r="C85" s="63"/>
      <c r="D85" s="64"/>
      <c r="E85" s="65"/>
      <c r="F85" s="63"/>
      <c r="G85" s="63"/>
      <c r="H85" s="63"/>
      <c r="I85" s="66"/>
      <c r="J85" s="82"/>
    </row>
    <row r="86" spans="2:10" x14ac:dyDescent="0.2">
      <c r="B86" s="83"/>
      <c r="C86" s="53" t="s">
        <v>108</v>
      </c>
      <c r="D86" s="54">
        <v>37463</v>
      </c>
      <c r="E86" s="55" t="s">
        <v>139</v>
      </c>
      <c r="F86" s="53" t="s">
        <v>303</v>
      </c>
      <c r="G86" s="53" t="s">
        <v>35</v>
      </c>
      <c r="H86" s="53" t="s">
        <v>282</v>
      </c>
      <c r="I86" s="56">
        <v>0.15</v>
      </c>
      <c r="J86" s="80">
        <v>5478486</v>
      </c>
    </row>
    <row r="87" spans="2:10" x14ac:dyDescent="0.2">
      <c r="B87" s="77" t="s">
        <v>347</v>
      </c>
      <c r="C87" s="63"/>
      <c r="D87" s="64"/>
      <c r="E87" s="65"/>
      <c r="F87" s="63"/>
      <c r="G87" s="63"/>
      <c r="H87" s="63"/>
      <c r="I87" s="66"/>
      <c r="J87" s="82"/>
    </row>
    <row r="88" spans="2:10" x14ac:dyDescent="0.2">
      <c r="B88" s="89"/>
      <c r="C88" s="53" t="s">
        <v>97</v>
      </c>
      <c r="D88" s="54">
        <v>39157</v>
      </c>
      <c r="E88" s="55" t="s">
        <v>273</v>
      </c>
      <c r="F88" s="53" t="s">
        <v>303</v>
      </c>
      <c r="G88" s="53" t="s">
        <v>41</v>
      </c>
      <c r="H88" s="53" t="s">
        <v>41</v>
      </c>
      <c r="I88" s="56">
        <v>0.28999999999999998</v>
      </c>
      <c r="J88" s="80">
        <v>565674.875</v>
      </c>
    </row>
    <row r="89" spans="2:10" x14ac:dyDescent="0.2">
      <c r="B89" s="89"/>
      <c r="C89" s="53" t="s">
        <v>107</v>
      </c>
      <c r="D89" s="54">
        <v>39171</v>
      </c>
      <c r="E89" s="55" t="s">
        <v>274</v>
      </c>
      <c r="F89" s="53" t="s">
        <v>303</v>
      </c>
      <c r="G89" s="53" t="s">
        <v>38</v>
      </c>
      <c r="H89" s="53" t="s">
        <v>38</v>
      </c>
      <c r="I89" s="56">
        <v>0.47</v>
      </c>
      <c r="J89" s="80">
        <v>3927075.5</v>
      </c>
    </row>
    <row r="90" spans="2:10" ht="16" thickBot="1" x14ac:dyDescent="0.25">
      <c r="B90" s="90"/>
      <c r="C90" s="91" t="s">
        <v>102</v>
      </c>
      <c r="D90" s="92">
        <v>37960</v>
      </c>
      <c r="E90" s="93" t="s">
        <v>275</v>
      </c>
      <c r="F90" s="91" t="s">
        <v>303</v>
      </c>
      <c r="G90" s="91" t="s">
        <v>40</v>
      </c>
      <c r="H90" s="91" t="s">
        <v>40</v>
      </c>
      <c r="I90" s="94">
        <v>0.2</v>
      </c>
      <c r="J90" s="95">
        <v>1927099.5</v>
      </c>
    </row>
    <row r="91" spans="2:10" x14ac:dyDescent="0.2">
      <c r="B91" s="596" t="s">
        <v>467</v>
      </c>
    </row>
    <row r="101" spans="10:10" x14ac:dyDescent="0.2">
      <c r="J101" s="57"/>
    </row>
    <row r="102" spans="10:10" x14ac:dyDescent="0.2">
      <c r="J102" s="57"/>
    </row>
    <row r="103" spans="10:10" x14ac:dyDescent="0.2">
      <c r="J103" s="57"/>
    </row>
    <row r="104" spans="10:10" x14ac:dyDescent="0.2">
      <c r="J104" s="57"/>
    </row>
    <row r="105" spans="10:10" x14ac:dyDescent="0.2">
      <c r="J105" s="57"/>
    </row>
    <row r="106" spans="10:10" x14ac:dyDescent="0.2">
      <c r="J106" s="57"/>
    </row>
    <row r="107" spans="10:10" x14ac:dyDescent="0.2">
      <c r="J107" s="57"/>
    </row>
    <row r="108" spans="10:10" x14ac:dyDescent="0.2">
      <c r="J108" s="57"/>
    </row>
    <row r="109" spans="10:10" x14ac:dyDescent="0.2">
      <c r="J109" s="57"/>
    </row>
    <row r="110" spans="10:10" x14ac:dyDescent="0.2">
      <c r="J110" s="57"/>
    </row>
    <row r="111" spans="10:10" x14ac:dyDescent="0.2">
      <c r="J111" s="57"/>
    </row>
    <row r="112" spans="10:10" x14ac:dyDescent="0.2">
      <c r="J112" s="57"/>
    </row>
    <row r="113" spans="10:10" x14ac:dyDescent="0.2">
      <c r="J113" s="57"/>
    </row>
    <row r="114" spans="10:10" x14ac:dyDescent="0.2">
      <c r="J114" s="57"/>
    </row>
    <row r="115" spans="10:10" x14ac:dyDescent="0.2">
      <c r="J115" s="57"/>
    </row>
    <row r="116" spans="10:10" x14ac:dyDescent="0.2">
      <c r="J116" s="57"/>
    </row>
    <row r="117" spans="10:10" x14ac:dyDescent="0.2">
      <c r="J117" s="57"/>
    </row>
    <row r="118" spans="10:10" x14ac:dyDescent="0.2">
      <c r="J118" s="57"/>
    </row>
    <row r="119" spans="10:10" x14ac:dyDescent="0.2">
      <c r="J119" s="57"/>
    </row>
    <row r="120" spans="10:10" x14ac:dyDescent="0.2">
      <c r="J120" s="57"/>
    </row>
    <row r="121" spans="10:10" x14ac:dyDescent="0.2">
      <c r="J121" s="57"/>
    </row>
    <row r="122" spans="10:10" x14ac:dyDescent="0.2">
      <c r="J122" s="57"/>
    </row>
    <row r="123" spans="10:10" x14ac:dyDescent="0.2">
      <c r="J123" s="57"/>
    </row>
    <row r="124" spans="10:10" x14ac:dyDescent="0.2">
      <c r="J124" s="57"/>
    </row>
    <row r="125" spans="10:10" x14ac:dyDescent="0.2">
      <c r="J125" s="57"/>
    </row>
    <row r="126" spans="10:10" x14ac:dyDescent="0.2">
      <c r="J126" s="57"/>
    </row>
    <row r="127" spans="10:10" x14ac:dyDescent="0.2">
      <c r="J127" s="57"/>
    </row>
    <row r="128" spans="10:10" x14ac:dyDescent="0.2">
      <c r="J128" s="57"/>
    </row>
    <row r="129" spans="10:10" x14ac:dyDescent="0.2">
      <c r="J129" s="57"/>
    </row>
    <row r="130" spans="10:10" x14ac:dyDescent="0.2">
      <c r="J130" s="57"/>
    </row>
    <row r="131" spans="10:10" x14ac:dyDescent="0.2">
      <c r="J131" s="57"/>
    </row>
    <row r="132" spans="10:10" x14ac:dyDescent="0.2">
      <c r="J132" s="57"/>
    </row>
    <row r="133" spans="10:10" x14ac:dyDescent="0.2">
      <c r="J133" s="57"/>
    </row>
    <row r="134" spans="10:10" x14ac:dyDescent="0.2">
      <c r="J134" s="57"/>
    </row>
    <row r="135" spans="10:10" x14ac:dyDescent="0.2">
      <c r="J135" s="57"/>
    </row>
    <row r="136" spans="10:10" x14ac:dyDescent="0.2">
      <c r="J136" s="57"/>
    </row>
    <row r="137" spans="10:10" x14ac:dyDescent="0.2">
      <c r="J137" s="57"/>
    </row>
    <row r="138" spans="10:10" x14ac:dyDescent="0.2">
      <c r="J138" s="57"/>
    </row>
    <row r="139" spans="10:10" x14ac:dyDescent="0.2">
      <c r="J139" s="57"/>
    </row>
  </sheetData>
  <sheetProtection sheet="1" objects="1" scenarios="1"/>
  <mergeCells count="1">
    <mergeCell ref="L2:L7"/>
  </mergeCells>
  <hyperlinks>
    <hyperlink ref="N3" r:id="rId1" xr:uid="{00000000-0004-0000-0000-000000000000}"/>
    <hyperlink ref="N6" r:id="rId2" xr:uid="{00000000-0004-0000-0000-000001000000}"/>
    <hyperlink ref="N7" r:id="rId3" xr:uid="{00000000-0004-0000-0000-000002000000}"/>
    <hyperlink ref="N4" r:id="rId4" xr:uid="{00000000-0004-0000-0000-000003000000}"/>
  </hyperlinks>
  <pageMargins left="0.25" right="0.25" top="0.5" bottom="0.5" header="0.3" footer="0.3"/>
  <pageSetup scale="52" fitToHeight="0" orientation="portrait" r:id="rId5"/>
  <colBreaks count="1" manualBreakCount="1">
    <brk id="10" max="90" man="1"/>
  </colBreak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pageSetUpPr fitToPage="1"/>
  </sheetPr>
  <dimension ref="A1:AE69"/>
  <sheetViews>
    <sheetView tabSelected="1" view="pageBreakPreview" topLeftCell="K9" zoomScale="88" zoomScaleNormal="100" zoomScaleSheetLayoutView="100" workbookViewId="0">
      <selection activeCell="N19" sqref="N19"/>
    </sheetView>
  </sheetViews>
  <sheetFormatPr baseColWidth="10" defaultColWidth="9.1640625" defaultRowHeight="15" x14ac:dyDescent="0.2"/>
  <cols>
    <col min="1" max="1" width="23.83203125" style="10" bestFit="1" customWidth="1"/>
    <col min="2" max="2" width="19.83203125" style="10" hidden="1" customWidth="1"/>
    <col min="3" max="3" width="15.5" style="10" customWidth="1"/>
    <col min="4" max="4" width="13.6640625" style="10" customWidth="1"/>
    <col min="5" max="5" width="12.6640625" style="10" customWidth="1"/>
    <col min="6" max="6" width="10.5" style="10" customWidth="1"/>
    <col min="7" max="7" width="11.5" style="10" customWidth="1"/>
    <col min="8" max="8" width="4.5" style="10" customWidth="1"/>
    <col min="9" max="9" width="16.83203125" style="10" customWidth="1"/>
    <col min="10" max="10" width="13.83203125" style="10" customWidth="1"/>
    <col min="11" max="11" width="6.6640625" style="10" customWidth="1"/>
    <col min="12" max="12" width="15.83203125" style="10" customWidth="1"/>
    <col min="13" max="13" width="11" style="10" customWidth="1"/>
    <col min="14" max="14" width="17.33203125" style="10" customWidth="1"/>
    <col min="15" max="15" width="9.83203125" style="10" customWidth="1"/>
    <col min="16" max="16" width="7.33203125" style="10" customWidth="1"/>
    <col min="17" max="17" width="7.6640625" style="10" customWidth="1"/>
    <col min="18" max="18" width="20" style="10" customWidth="1"/>
    <col min="19" max="19" width="10.6640625" style="10" customWidth="1"/>
    <col min="20" max="20" width="11.6640625" style="10" customWidth="1"/>
    <col min="21" max="21" width="8.1640625" style="10" customWidth="1"/>
    <col min="22" max="22" width="6.5" style="10" customWidth="1"/>
    <col min="23" max="23" width="25.33203125" style="10" customWidth="1"/>
    <col min="24" max="24" width="11" style="10" customWidth="1"/>
    <col min="25" max="30" width="10.6640625" style="10" customWidth="1"/>
    <col min="31" max="31" width="12.6640625" style="10" customWidth="1"/>
    <col min="32" max="16384" width="9.1640625" style="10"/>
  </cols>
  <sheetData>
    <row r="1" spans="1:31" x14ac:dyDescent="0.2">
      <c r="J1" s="12"/>
      <c r="K1" s="12"/>
    </row>
    <row r="2" spans="1:31" x14ac:dyDescent="0.2">
      <c r="A2" s="13"/>
      <c r="B2" s="13"/>
      <c r="J2" s="12"/>
      <c r="K2" s="12"/>
      <c r="L2" s="13"/>
    </row>
    <row r="3" spans="1:31" x14ac:dyDescent="0.2">
      <c r="A3" s="13"/>
      <c r="B3" s="13"/>
      <c r="J3" s="12"/>
      <c r="K3" s="12"/>
      <c r="L3" s="13"/>
    </row>
    <row r="4" spans="1:31" ht="87" customHeight="1" x14ac:dyDescent="0.3">
      <c r="A4" s="13"/>
      <c r="B4" s="13"/>
      <c r="C4" s="706" t="s">
        <v>472</v>
      </c>
      <c r="D4" s="706"/>
      <c r="E4" s="706"/>
      <c r="F4" s="706"/>
      <c r="G4" s="706"/>
      <c r="H4" s="706"/>
      <c r="I4" s="706"/>
      <c r="J4" s="706"/>
      <c r="K4" s="706"/>
      <c r="L4" s="706" t="s">
        <v>472</v>
      </c>
      <c r="M4" s="706"/>
      <c r="N4" s="706"/>
      <c r="O4" s="706"/>
      <c r="P4" s="706"/>
      <c r="Q4" s="706"/>
      <c r="R4" s="706"/>
      <c r="S4" s="706"/>
      <c r="T4" s="706"/>
      <c r="U4" s="709" t="s">
        <v>472</v>
      </c>
      <c r="V4" s="709"/>
      <c r="W4" s="709"/>
      <c r="X4" s="709"/>
      <c r="Y4" s="709"/>
      <c r="Z4" s="709"/>
      <c r="AA4" s="709"/>
      <c r="AB4" s="709"/>
      <c r="AC4" s="709"/>
      <c r="AD4" s="709"/>
      <c r="AE4" s="599"/>
    </row>
    <row r="5" spans="1:31" ht="15" customHeight="1" x14ac:dyDescent="0.2">
      <c r="A5" s="13"/>
      <c r="B5" s="13"/>
      <c r="C5" s="704" t="s">
        <v>388</v>
      </c>
      <c r="D5" s="704"/>
      <c r="E5" s="704"/>
      <c r="F5" s="704"/>
      <c r="G5" s="704"/>
      <c r="H5" s="704"/>
      <c r="I5" s="704"/>
      <c r="J5" s="704"/>
      <c r="K5" s="704"/>
      <c r="L5" s="704" t="s">
        <v>392</v>
      </c>
      <c r="M5" s="704"/>
      <c r="N5" s="704"/>
      <c r="O5" s="704"/>
      <c r="P5" s="704"/>
      <c r="Q5" s="704"/>
      <c r="R5" s="704"/>
      <c r="S5" s="704"/>
      <c r="T5" s="704"/>
      <c r="U5" s="681" t="s">
        <v>351</v>
      </c>
      <c r="V5" s="682"/>
      <c r="W5" s="682"/>
      <c r="X5" s="682"/>
      <c r="Y5" s="682"/>
      <c r="Z5" s="682"/>
      <c r="AA5" s="682"/>
      <c r="AB5" s="682"/>
      <c r="AC5" s="682"/>
      <c r="AD5" s="683"/>
    </row>
    <row r="6" spans="1:31" ht="15" customHeight="1" x14ac:dyDescent="0.2">
      <c r="A6" s="13"/>
      <c r="B6" s="13"/>
      <c r="C6" s="666" t="s">
        <v>387</v>
      </c>
      <c r="D6" s="618"/>
      <c r="E6" s="619"/>
      <c r="F6" s="619"/>
      <c r="G6" s="619"/>
      <c r="H6" s="619"/>
      <c r="I6" s="619"/>
      <c r="J6" s="620"/>
      <c r="K6" s="619"/>
      <c r="L6" s="621"/>
      <c r="M6" s="621"/>
      <c r="N6" s="621"/>
      <c r="O6" s="621"/>
      <c r="P6" s="621"/>
      <c r="Q6" s="621"/>
      <c r="R6" s="621"/>
      <c r="S6" s="621"/>
      <c r="T6" s="621"/>
      <c r="U6" s="707" t="s">
        <v>191</v>
      </c>
      <c r="V6" s="703"/>
      <c r="W6" s="703"/>
      <c r="X6" s="703"/>
      <c r="Y6" s="703"/>
      <c r="Z6" s="703"/>
      <c r="AA6" s="703"/>
      <c r="AB6" s="703"/>
      <c r="AC6" s="703"/>
      <c r="AD6" s="708"/>
    </row>
    <row r="7" spans="1:31" ht="15" customHeight="1" x14ac:dyDescent="0.2">
      <c r="A7" s="13"/>
      <c r="B7" s="13"/>
      <c r="C7" s="667" t="s">
        <v>218</v>
      </c>
      <c r="D7" s="619"/>
      <c r="E7" s="623" t="s">
        <v>369</v>
      </c>
      <c r="F7" s="624"/>
      <c r="G7" s="624"/>
      <c r="H7" s="617"/>
      <c r="I7" s="619"/>
      <c r="J7" s="620"/>
      <c r="K7" s="619"/>
      <c r="L7" s="621"/>
      <c r="M7" s="621"/>
      <c r="N7" s="621"/>
      <c r="O7" s="621"/>
      <c r="P7" s="621"/>
      <c r="Q7" s="621"/>
      <c r="R7" s="621"/>
      <c r="S7" s="621"/>
      <c r="T7" s="621"/>
      <c r="U7" s="636" t="s">
        <v>234</v>
      </c>
      <c r="V7" s="637"/>
      <c r="W7" s="637"/>
      <c r="X7" s="637" t="s">
        <v>231</v>
      </c>
      <c r="Y7" s="638" t="s">
        <v>442</v>
      </c>
      <c r="Z7" s="636" t="s">
        <v>450</v>
      </c>
      <c r="AA7" s="638" t="s">
        <v>229</v>
      </c>
      <c r="AB7" s="639" t="s">
        <v>451</v>
      </c>
      <c r="AC7" s="636" t="s">
        <v>189</v>
      </c>
      <c r="AD7" s="638" t="s">
        <v>453</v>
      </c>
    </row>
    <row r="8" spans="1:31" ht="15" customHeight="1" x14ac:dyDescent="0.2">
      <c r="A8" s="13"/>
      <c r="B8" s="13"/>
      <c r="C8" s="667" t="s">
        <v>219</v>
      </c>
      <c r="D8" s="619"/>
      <c r="E8" s="625">
        <v>0.05</v>
      </c>
      <c r="F8" s="624"/>
      <c r="G8" s="624"/>
      <c r="H8" s="617"/>
      <c r="I8" s="619"/>
      <c r="J8" s="620"/>
      <c r="K8" s="619"/>
      <c r="L8" s="621"/>
      <c r="M8" s="621"/>
      <c r="N8" s="621"/>
      <c r="O8" s="621"/>
      <c r="P8" s="621"/>
      <c r="Q8" s="621"/>
      <c r="R8" s="621"/>
      <c r="S8" s="621"/>
      <c r="T8" s="621"/>
      <c r="U8" s="640" t="s">
        <v>168</v>
      </c>
      <c r="V8" s="641" t="s">
        <v>0</v>
      </c>
      <c r="W8" s="642" t="s">
        <v>1</v>
      </c>
      <c r="X8" s="642" t="s">
        <v>232</v>
      </c>
      <c r="Y8" s="643" t="s">
        <v>168</v>
      </c>
      <c r="Z8" s="640" t="s">
        <v>163</v>
      </c>
      <c r="AA8" s="643" t="s">
        <v>230</v>
      </c>
      <c r="AB8" s="644" t="s">
        <v>163</v>
      </c>
      <c r="AC8" s="640" t="s">
        <v>163</v>
      </c>
      <c r="AD8" s="643" t="s">
        <v>163</v>
      </c>
    </row>
    <row r="9" spans="1:31" ht="15" customHeight="1" x14ac:dyDescent="0.2">
      <c r="A9" s="13"/>
      <c r="B9" s="13"/>
      <c r="C9" s="667" t="s">
        <v>220</v>
      </c>
      <c r="D9" s="619"/>
      <c r="E9" s="626" t="s">
        <v>473</v>
      </c>
      <c r="F9" s="619"/>
      <c r="G9" s="619"/>
      <c r="H9" s="617"/>
      <c r="I9" s="619"/>
      <c r="J9" s="620"/>
      <c r="K9" s="619"/>
      <c r="L9" s="621"/>
      <c r="M9" s="621"/>
      <c r="N9" s="621"/>
      <c r="O9" s="621"/>
      <c r="P9" s="621"/>
      <c r="Q9" s="621"/>
      <c r="R9" s="621"/>
      <c r="S9" s="621"/>
      <c r="T9" s="621"/>
      <c r="U9" s="645">
        <f>IF(V9="","",'Policy Portfolio'!G20)</f>
        <v>0.01</v>
      </c>
      <c r="V9" s="646" t="s">
        <v>149</v>
      </c>
      <c r="W9" s="646" t="s">
        <v>149</v>
      </c>
      <c r="X9" s="647" t="s">
        <v>149</v>
      </c>
      <c r="Y9" s="648">
        <f>Calculations!$C$68</f>
        <v>0.17485792721954754</v>
      </c>
      <c r="Z9" s="649">
        <v>0</v>
      </c>
      <c r="AA9" s="650">
        <v>0</v>
      </c>
      <c r="AB9" s="651">
        <v>0</v>
      </c>
      <c r="AC9" s="652">
        <v>0</v>
      </c>
      <c r="AD9" s="648">
        <v>0</v>
      </c>
    </row>
    <row r="10" spans="1:31" ht="15" customHeight="1" x14ac:dyDescent="0.2">
      <c r="A10" s="13"/>
      <c r="B10" s="13"/>
      <c r="C10" s="667" t="s">
        <v>224</v>
      </c>
      <c r="D10" s="619"/>
      <c r="E10" s="625" t="s">
        <v>474</v>
      </c>
      <c r="F10" s="619"/>
      <c r="G10" s="619"/>
      <c r="H10" s="617"/>
      <c r="I10" s="617" t="s">
        <v>428</v>
      </c>
      <c r="J10" s="620"/>
      <c r="K10" s="619"/>
      <c r="L10" s="621"/>
      <c r="M10" s="621"/>
      <c r="N10" s="621"/>
      <c r="O10" s="621"/>
      <c r="P10" s="621"/>
      <c r="Q10" s="621"/>
      <c r="R10" s="621"/>
      <c r="S10" s="621"/>
      <c r="T10" s="621"/>
      <c r="U10" s="645">
        <f>IF(V10="","",'Policy Portfolio'!G21)</f>
        <v>0.3</v>
      </c>
      <c r="V10" s="646" t="str">
        <f>IF('Policy Portfolio'!H21="","",'Policy Portfolio'!H21)</f>
        <v>BWX</v>
      </c>
      <c r="W10" s="646" t="str">
        <f>IF('Policy Portfolio'!I21="","",'Policy Portfolio'!I21)</f>
        <v>SPDR BBG Barclays Intl Treasury</v>
      </c>
      <c r="X10" s="647" t="str">
        <f>IF(V10="","",Trades!E9)</f>
        <v>Bonds</v>
      </c>
      <c r="Y10" s="648">
        <f>IF(V10="","",HLOOKUP(V10,Calculations!$C$61:$AG$68,8,FALSE))</f>
        <v>0.24420221076302531</v>
      </c>
      <c r="Z10" s="652">
        <f>IF($V10="","",VLOOKUP('Final Report'!$V10,'Risk &amp; Returns'!$H$11:$M$19,3,FALSE))</f>
        <v>5.6099999999999997E-2</v>
      </c>
      <c r="AA10" s="648">
        <f>IF($V10="","",VLOOKUP('Final Report'!$V10,'Risk &amp; Returns'!$H$11:$M$19,4,FALSE))</f>
        <v>3.5799999999999998E-2</v>
      </c>
      <c r="AB10" s="653">
        <f>IF($V10="","",VLOOKUP('Final Report'!$V10,'Risk &amp; Returns'!$H$11:$M$19,6,FALSE))</f>
        <v>6.5000000000000002E-2</v>
      </c>
      <c r="AC10" s="652">
        <f>IF($V10="","",VLOOKUP('Final Report'!$V10,'Risk &amp; Returns'!$H$11:$P$19,7,FALSE))</f>
        <v>-2.0263424518743123E-3</v>
      </c>
      <c r="AD10" s="648">
        <f>IF($V10="","",VLOOKUP('Final Report'!$V10,'Risk &amp; Returns'!$H$11:$P$19,8,FALSE))</f>
        <v>-2.0874391594788877E-2</v>
      </c>
    </row>
    <row r="11" spans="1:31" ht="15" customHeight="1" x14ac:dyDescent="0.2">
      <c r="A11" s="13"/>
      <c r="B11" s="13"/>
      <c r="C11" s="667" t="s">
        <v>225</v>
      </c>
      <c r="D11" s="627"/>
      <c r="E11" s="627"/>
      <c r="F11" s="627"/>
      <c r="G11" s="627"/>
      <c r="H11" s="617"/>
      <c r="I11" s="619"/>
      <c r="J11" s="620"/>
      <c r="K11" s="619"/>
      <c r="L11" s="621"/>
      <c r="M11" s="621"/>
      <c r="N11" s="621"/>
      <c r="O11" s="621"/>
      <c r="P11" s="621"/>
      <c r="Q11" s="621"/>
      <c r="R11" s="621"/>
      <c r="S11" s="621"/>
      <c r="T11" s="621"/>
      <c r="U11" s="645">
        <f>IF(V11="","",'Policy Portfolio'!G22)</f>
        <v>0.35</v>
      </c>
      <c r="V11" s="654" t="str">
        <f>IF('Policy Portfolio'!H22="","",'Policy Portfolio'!H22)</f>
        <v>VTI</v>
      </c>
      <c r="W11" s="646" t="str">
        <f>IF('Policy Portfolio'!I22="","",'Policy Portfolio'!I22)</f>
        <v xml:space="preserve">Vanguard Total Stock Mrkt </v>
      </c>
      <c r="X11" s="647" t="str">
        <f>IF(V11="","",Trades!E10)</f>
        <v>US Equity</v>
      </c>
      <c r="Y11" s="648">
        <f>IF(V11="","",HLOOKUP(V11,Calculations!$C$61:$AG$68,8,FALSE))</f>
        <v>0.16754611272042105</v>
      </c>
      <c r="Z11" s="652">
        <f>IF($V11="","",VLOOKUP('Final Report'!$V11,'Risk &amp; Returns'!$H$11:$M$19,3,FALSE))</f>
        <v>7.7399999999999997E-2</v>
      </c>
      <c r="AA11" s="648">
        <f>IF($V11="","",VLOOKUP('Final Report'!$V11,'Risk &amp; Returns'!$H$11:$M$19,4,FALSE))</f>
        <v>0.1555</v>
      </c>
      <c r="AB11" s="653">
        <f>IF($V11="","",VLOOKUP('Final Report'!$V11,'Risk &amp; Returns'!$H$11:$M$19,6,FALSE))</f>
        <v>8.4000000000000005E-2</v>
      </c>
      <c r="AC11" s="652">
        <f>IF($V11="","",VLOOKUP('Final Report'!$V11,'Risk &amp; Returns'!$H$11:$P$19,7,FALSE))</f>
        <v>5.2175727952787562E-2</v>
      </c>
      <c r="AD11" s="648">
        <f>IF($V11="","",VLOOKUP('Final Report'!$V11,'Risk &amp; Returns'!$H$11:$P$19,8,FALSE))</f>
        <v>0.69714169194816389</v>
      </c>
    </row>
    <row r="12" spans="1:31" ht="15" customHeight="1" x14ac:dyDescent="0.2">
      <c r="A12" s="13"/>
      <c r="B12" s="13"/>
      <c r="C12" s="622"/>
      <c r="D12" s="627"/>
      <c r="E12" s="627"/>
      <c r="F12" s="627"/>
      <c r="G12" s="627"/>
      <c r="H12" s="617"/>
      <c r="I12" s="619"/>
      <c r="J12" s="620"/>
      <c r="K12" s="619"/>
      <c r="L12" s="621"/>
      <c r="M12" s="621"/>
      <c r="N12" s="621"/>
      <c r="O12" s="621"/>
      <c r="P12" s="621"/>
      <c r="Q12" s="621"/>
      <c r="R12" s="621"/>
      <c r="S12" s="621"/>
      <c r="T12" s="621"/>
      <c r="U12" s="645">
        <f>IF(V12="","",'Policy Portfolio'!G23)</f>
        <v>0.34</v>
      </c>
      <c r="V12" s="654" t="str">
        <f>IF('Policy Portfolio'!H23="","",'Policy Portfolio'!H23)</f>
        <v>IAU</v>
      </c>
      <c r="W12" s="646" t="str">
        <f>IF('Policy Portfolio'!I23="","",'Policy Portfolio'!I23)</f>
        <v>iShares Gold Trust</v>
      </c>
      <c r="X12" s="647" t="str">
        <f>IF(V12="","",Trades!E11)</f>
        <v>Alternatives</v>
      </c>
      <c r="Y12" s="648">
        <f>IF(V12="","",HLOOKUP(V12,Calculations!$C$61:$AG$68,8,FALSE))</f>
        <v>0.28365648719183773</v>
      </c>
      <c r="Z12" s="652">
        <f>IF($V12="","",VLOOKUP('Final Report'!$V12,'Risk &amp; Returns'!$H$11:$M$19,3,FALSE))</f>
        <v>8.9700000000000002E-2</v>
      </c>
      <c r="AA12" s="648">
        <f>IF($V12="","",VLOOKUP('Final Report'!$V12,'Risk &amp; Returns'!$H$11:$M$19,4,FALSE))</f>
        <v>0.16650000000000001</v>
      </c>
      <c r="AB12" s="653">
        <f>IF($V12="","",VLOOKUP('Final Report'!$V12,'Risk &amp; Returns'!$H$11:$M$19,6,FALSE))</f>
        <v>0.1</v>
      </c>
      <c r="AC12" s="652">
        <f>IF($V12="","",VLOOKUP('Final Report'!$V12,'Risk &amp; Returns'!$H$11:$P$19,7,FALSE))</f>
        <v>2.6576019777502971E-2</v>
      </c>
      <c r="AD12" s="648">
        <f>IF($V12="","",VLOOKUP('Final Report'!$V12,'Risk &amp; Returns'!$H$11:$P$19,8,FALSE))</f>
        <v>0.31361348421326363</v>
      </c>
    </row>
    <row r="13" spans="1:31" ht="16" x14ac:dyDescent="0.2">
      <c r="A13" s="13"/>
      <c r="B13" s="13"/>
      <c r="C13" s="622"/>
      <c r="D13" s="627"/>
      <c r="E13" s="627"/>
      <c r="F13" s="627"/>
      <c r="G13" s="627"/>
      <c r="H13" s="627"/>
      <c r="I13" s="627"/>
      <c r="J13" s="627"/>
      <c r="K13" s="627"/>
      <c r="L13" s="621"/>
      <c r="M13" s="621"/>
      <c r="N13" s="621"/>
      <c r="O13" s="621"/>
      <c r="P13" s="621"/>
      <c r="Q13" s="621"/>
      <c r="R13" s="621"/>
      <c r="S13" s="621"/>
      <c r="T13" s="621"/>
      <c r="U13" s="645" t="str">
        <f>IF(V13="","",'Policy Portfolio'!G24)</f>
        <v/>
      </c>
      <c r="V13" s="654" t="str">
        <f>IF('Policy Portfolio'!H24="","",'Policy Portfolio'!H24)</f>
        <v/>
      </c>
      <c r="W13" s="646" t="str">
        <f>IF('Policy Portfolio'!I24="","",'Policy Portfolio'!I24)</f>
        <v/>
      </c>
      <c r="X13" s="647" t="str">
        <f>IF(V13="","",Trades!E12)</f>
        <v/>
      </c>
      <c r="Y13" s="648" t="str">
        <f>IF(V13="","",HLOOKUP(V13,Calculations!$C$61:$AG$68,8,FALSE))</f>
        <v/>
      </c>
      <c r="Z13" s="652" t="str">
        <f>IF($V13="","",VLOOKUP('Final Report'!$V13,'Risk &amp; Returns'!$H$11:$M$19,3,FALSE))</f>
        <v/>
      </c>
      <c r="AA13" s="648" t="str">
        <f>IF($V13="","",VLOOKUP('Final Report'!$V13,'Risk &amp; Returns'!$H$11:$M$19,4,FALSE))</f>
        <v/>
      </c>
      <c r="AB13" s="653" t="str">
        <f>IF($V13="","",VLOOKUP('Final Report'!$V13,'Risk &amp; Returns'!$H$11:$M$19,6,FALSE))</f>
        <v/>
      </c>
      <c r="AC13" s="652" t="str">
        <f>IF($V13="","",VLOOKUP('Final Report'!$V13,'Risk &amp; Returns'!$H$11:$P$19,7,FALSE))</f>
        <v/>
      </c>
      <c r="AD13" s="648" t="str">
        <f>IF($V13="","",VLOOKUP('Final Report'!$V13,'Risk &amp; Returns'!$H$11:$P$19,8,FALSE))</f>
        <v/>
      </c>
    </row>
    <row r="14" spans="1:31" ht="16" x14ac:dyDescent="0.2">
      <c r="A14" s="13"/>
      <c r="B14" s="13"/>
      <c r="C14" s="627"/>
      <c r="D14" s="627"/>
      <c r="E14" s="627"/>
      <c r="F14" s="627"/>
      <c r="G14" s="627"/>
      <c r="H14" s="627"/>
      <c r="I14" s="627"/>
      <c r="J14" s="627"/>
      <c r="K14" s="627"/>
      <c r="L14" s="621"/>
      <c r="M14" s="621"/>
      <c r="N14" s="621"/>
      <c r="O14" s="621"/>
      <c r="P14" s="621"/>
      <c r="Q14" s="621"/>
      <c r="R14" s="621"/>
      <c r="S14" s="621"/>
      <c r="T14" s="621"/>
      <c r="U14" s="645" t="str">
        <f>IF(V14="","",'Policy Portfolio'!G25)</f>
        <v/>
      </c>
      <c r="V14" s="654" t="str">
        <f>IF('Policy Portfolio'!H25="","",'Policy Portfolio'!H25)</f>
        <v/>
      </c>
      <c r="W14" s="646" t="str">
        <f>IF('Policy Portfolio'!I25="","",'Policy Portfolio'!I25)</f>
        <v/>
      </c>
      <c r="X14" s="647" t="str">
        <f>IF(V14="","",Trades!E13)</f>
        <v/>
      </c>
      <c r="Y14" s="648" t="str">
        <f>IF(V14="","",HLOOKUP(V14,Calculations!$C$61:$AG$68,8,FALSE))</f>
        <v/>
      </c>
      <c r="Z14" s="652" t="str">
        <f>IF($V14="","",VLOOKUP('Final Report'!$V14,'Risk &amp; Returns'!$H$11:$M$19,3,FALSE))</f>
        <v/>
      </c>
      <c r="AA14" s="648" t="str">
        <f>IF($V14="","",VLOOKUP('Final Report'!$V14,'Risk &amp; Returns'!$H$11:$M$19,4,FALSE))</f>
        <v/>
      </c>
      <c r="AB14" s="653" t="str">
        <f>IF($V14="","",VLOOKUP('Final Report'!$V14,'Risk &amp; Returns'!$H$11:$M$19,6,FALSE))</f>
        <v/>
      </c>
      <c r="AC14" s="652" t="str">
        <f>IF($V14="","",VLOOKUP('Final Report'!$V14,'Risk &amp; Returns'!$H$11:$P$19,7,FALSE))</f>
        <v/>
      </c>
      <c r="AD14" s="648" t="str">
        <f>IF($V14="","",VLOOKUP('Final Report'!$V14,'Risk &amp; Returns'!$H$11:$P$19,8,FALSE))</f>
        <v/>
      </c>
    </row>
    <row r="15" spans="1:31" ht="16" x14ac:dyDescent="0.2">
      <c r="A15" s="13"/>
      <c r="B15" s="13"/>
      <c r="C15" s="627"/>
      <c r="D15" s="627"/>
      <c r="E15" s="627"/>
      <c r="F15" s="627"/>
      <c r="G15" s="627"/>
      <c r="H15" s="627"/>
      <c r="I15" s="627"/>
      <c r="J15" s="627"/>
      <c r="K15" s="627"/>
      <c r="L15" s="621"/>
      <c r="M15" s="621"/>
      <c r="N15" s="621"/>
      <c r="O15" s="621"/>
      <c r="P15" s="621"/>
      <c r="Q15" s="621"/>
      <c r="R15" s="621"/>
      <c r="S15" s="621"/>
      <c r="T15" s="621"/>
      <c r="U15" s="645" t="str">
        <f>IF(V15="","",'Policy Portfolio'!G26)</f>
        <v/>
      </c>
      <c r="V15" s="654" t="str">
        <f>IF('Policy Portfolio'!H26="","",'Policy Portfolio'!H26)</f>
        <v/>
      </c>
      <c r="W15" s="646" t="str">
        <f>IF('Policy Portfolio'!I26="","",'Policy Portfolio'!I26)</f>
        <v/>
      </c>
      <c r="X15" s="647" t="str">
        <f>IF(V15="","",Trades!E14)</f>
        <v/>
      </c>
      <c r="Y15" s="648" t="str">
        <f>IF(V15="","",HLOOKUP(V15,Calculations!$C$61:$AG$68,8,FALSE))</f>
        <v/>
      </c>
      <c r="Z15" s="652" t="str">
        <f>IF($V15="","",VLOOKUP('Final Report'!$V15,'Risk &amp; Returns'!$H$11:$M$19,3,FALSE))</f>
        <v/>
      </c>
      <c r="AA15" s="648" t="str">
        <f>IF($V15="","",VLOOKUP('Final Report'!$V15,'Risk &amp; Returns'!$H$11:$M$19,4,FALSE))</f>
        <v/>
      </c>
      <c r="AB15" s="653" t="str">
        <f>IF($V15="","",VLOOKUP('Final Report'!$V15,'Risk &amp; Returns'!$H$11:$M$19,6,FALSE))</f>
        <v/>
      </c>
      <c r="AC15" s="652" t="str">
        <f>IF($V15="","",VLOOKUP('Final Report'!$V15,'Risk &amp; Returns'!$H$11:$P$19,7,FALSE))</f>
        <v/>
      </c>
      <c r="AD15" s="648" t="str">
        <f>IF($V15="","",VLOOKUP('Final Report'!$V15,'Risk &amp; Returns'!$H$11:$P$19,8,FALSE))</f>
        <v/>
      </c>
    </row>
    <row r="16" spans="1:31" ht="16" x14ac:dyDescent="0.2">
      <c r="A16" s="13"/>
      <c r="B16" s="13"/>
      <c r="C16" s="627"/>
      <c r="D16" s="627"/>
      <c r="E16" s="627"/>
      <c r="F16" s="627"/>
      <c r="G16" s="627"/>
      <c r="H16" s="627"/>
      <c r="I16" s="627"/>
      <c r="J16" s="627"/>
      <c r="K16" s="627"/>
      <c r="L16" s="621"/>
      <c r="M16" s="621"/>
      <c r="N16" s="621"/>
      <c r="O16" s="621"/>
      <c r="P16" s="621"/>
      <c r="Q16" s="621"/>
      <c r="R16" s="621"/>
      <c r="S16" s="621"/>
      <c r="T16" s="621"/>
      <c r="U16" s="645" t="str">
        <f>IF(V16="","",'Policy Portfolio'!G27)</f>
        <v/>
      </c>
      <c r="V16" s="654" t="str">
        <f>IF('Policy Portfolio'!H27="","",'Policy Portfolio'!H27)</f>
        <v/>
      </c>
      <c r="W16" s="646" t="str">
        <f>IF('Policy Portfolio'!I27="","",'Policy Portfolio'!I27)</f>
        <v/>
      </c>
      <c r="X16" s="647" t="str">
        <f>IF(V16="","",Trades!E15)</f>
        <v/>
      </c>
      <c r="Y16" s="648" t="str">
        <f>IF(V16="","",HLOOKUP(V16,Calculations!$C$61:$AG$68,8,FALSE))</f>
        <v/>
      </c>
      <c r="Z16" s="652" t="str">
        <f>IF($V16="","",VLOOKUP('Final Report'!$V16,'Risk &amp; Returns'!$H$11:$M$19,3,FALSE))</f>
        <v/>
      </c>
      <c r="AA16" s="648" t="str">
        <f>IF($V16="","",VLOOKUP('Final Report'!$V16,'Risk &amp; Returns'!$H$11:$M$19,4,FALSE))</f>
        <v/>
      </c>
      <c r="AB16" s="653" t="str">
        <f>IF($V16="","",VLOOKUP('Final Report'!$V16,'Risk &amp; Returns'!$H$11:$M$19,6,FALSE))</f>
        <v/>
      </c>
      <c r="AC16" s="652" t="str">
        <f>IF($V16="","",VLOOKUP('Final Report'!$V16,'Risk &amp; Returns'!$H$11:$P$19,7,FALSE))</f>
        <v/>
      </c>
      <c r="AD16" s="648" t="str">
        <f>IF($V16="","",VLOOKUP('Final Report'!$V16,'Risk &amp; Returns'!$H$11:$P$19,8,FALSE))</f>
        <v/>
      </c>
    </row>
    <row r="17" spans="1:30" ht="16" x14ac:dyDescent="0.2">
      <c r="A17" s="13"/>
      <c r="B17" s="13"/>
      <c r="C17" s="705" t="s">
        <v>226</v>
      </c>
      <c r="D17" s="705"/>
      <c r="E17" s="705"/>
      <c r="F17" s="705"/>
      <c r="G17" s="705"/>
      <c r="H17" s="705"/>
      <c r="I17" s="705"/>
      <c r="J17" s="705"/>
      <c r="K17" s="705"/>
      <c r="L17" s="703" t="s">
        <v>447</v>
      </c>
      <c r="M17" s="703"/>
      <c r="N17" s="703"/>
      <c r="O17" s="703"/>
      <c r="P17" s="703"/>
      <c r="Q17" s="703"/>
      <c r="R17" s="703"/>
      <c r="S17" s="703"/>
      <c r="T17" s="703"/>
      <c r="U17" s="645" t="str">
        <f>IF(V17="","",'Policy Portfolio'!G28)</f>
        <v/>
      </c>
      <c r="V17" s="654" t="str">
        <f>IF('Policy Portfolio'!H28="","",'Policy Portfolio'!H28)</f>
        <v/>
      </c>
      <c r="W17" s="646" t="str">
        <f>IF('Policy Portfolio'!I28="","",'Policy Portfolio'!I28)</f>
        <v/>
      </c>
      <c r="X17" s="647" t="str">
        <f>IF(V17="","",Trades!E16)</f>
        <v/>
      </c>
      <c r="Y17" s="648" t="str">
        <f>IF(V17="","",HLOOKUP(V17,Calculations!$C$61:$AG$68,8,FALSE))</f>
        <v/>
      </c>
      <c r="Z17" s="652" t="str">
        <f>IF($V17="","",VLOOKUP('Final Report'!$V17,'Risk &amp; Returns'!$H$11:$M$19,3,FALSE))</f>
        <v/>
      </c>
      <c r="AA17" s="648" t="str">
        <f>IF($V17="","",VLOOKUP('Final Report'!$V17,'Risk &amp; Returns'!$H$11:$M$19,4,FALSE))</f>
        <v/>
      </c>
      <c r="AB17" s="653" t="str">
        <f>IF($V17="","",VLOOKUP('Final Report'!$V17,'Risk &amp; Returns'!$H$11:$M$19,6,FALSE))</f>
        <v/>
      </c>
      <c r="AC17" s="652" t="str">
        <f>IF($V17="","",VLOOKUP('Final Report'!$V17,'Risk &amp; Returns'!$H$11:$P$19,7,FALSE))</f>
        <v/>
      </c>
      <c r="AD17" s="648" t="str">
        <f>IF($V17="","",VLOOKUP('Final Report'!$V17,'Risk &amp; Returns'!$H$11:$P$19,8,FALSE))</f>
        <v/>
      </c>
    </row>
    <row r="18" spans="1:30" ht="16" x14ac:dyDescent="0.2">
      <c r="A18" s="13"/>
      <c r="B18" s="13"/>
      <c r="C18" s="627"/>
      <c r="D18" s="627"/>
      <c r="E18" s="627"/>
      <c r="F18" s="627"/>
      <c r="G18" s="627"/>
      <c r="H18" s="627"/>
      <c r="I18" s="627"/>
      <c r="J18" s="627"/>
      <c r="K18" s="627"/>
      <c r="L18" s="668" t="s">
        <v>223</v>
      </c>
      <c r="M18" s="669"/>
      <c r="N18" s="670">
        <f>(SUM('Port Returns'!$L$10:$L$39)+SUM('Port Returns'!$I$48:$I$77))/(Initial_Cash+Extra_Cash)</f>
        <v>3.1468109999999966E-2</v>
      </c>
      <c r="O18" s="668"/>
      <c r="P18" s="671"/>
      <c r="Q18" s="672" t="s">
        <v>446</v>
      </c>
      <c r="R18" s="673"/>
      <c r="S18" s="674">
        <f>Calculations!D83</f>
        <v>8.3102836648277605E-3</v>
      </c>
      <c r="T18" s="675"/>
      <c r="U18" s="645" t="str">
        <f>IF(V18="","",'Policy Portfolio'!G29)</f>
        <v/>
      </c>
      <c r="V18" s="654" t="str">
        <f>IF('Policy Portfolio'!H29="","",'Policy Portfolio'!H29)</f>
        <v/>
      </c>
      <c r="W18" s="654" t="str">
        <f>IF('Policy Portfolio'!I29="","",'Policy Portfolio'!I29)</f>
        <v/>
      </c>
      <c r="X18" s="655" t="str">
        <f>IF(V18="","",Trades!E17)</f>
        <v/>
      </c>
      <c r="Y18" s="648" t="str">
        <f>IF(V18="","",HLOOKUP(V18,Calculations!$C$61:$AG$68,8,FALSE))</f>
        <v/>
      </c>
      <c r="Z18" s="652" t="str">
        <f>IF($V18="","",VLOOKUP('Final Report'!$V18,'Risk &amp; Returns'!$H$11:$M$19,3,FALSE))</f>
        <v/>
      </c>
      <c r="AA18" s="648" t="str">
        <f>IF($V18="","",VLOOKUP('Final Report'!$V18,'Risk &amp; Returns'!$H$11:$M$19,4,FALSE))</f>
        <v/>
      </c>
      <c r="AB18" s="653" t="str">
        <f>IF($V18="","",VLOOKUP('Final Report'!$V18,'Risk &amp; Returns'!$H$11:$M$19,6,FALSE))</f>
        <v/>
      </c>
      <c r="AC18" s="656" t="str">
        <f>IF($V18="","",VLOOKUP('Final Report'!$V18,'Risk &amp; Returns'!$H$11:$P$19,7,FALSE))</f>
        <v/>
      </c>
      <c r="AD18" s="648" t="str">
        <f>IF($V18="","",VLOOKUP('Final Report'!$V18,'Risk &amp; Returns'!$H$11:$P$19,8,FALSE))</f>
        <v/>
      </c>
    </row>
    <row r="19" spans="1:30" ht="16" x14ac:dyDescent="0.2">
      <c r="A19" s="13"/>
      <c r="B19" s="13"/>
      <c r="C19" s="627"/>
      <c r="D19" s="627"/>
      <c r="E19" s="627"/>
      <c r="F19" s="627"/>
      <c r="G19" s="627"/>
      <c r="H19" s="627"/>
      <c r="I19" s="627"/>
      <c r="J19" s="627"/>
      <c r="K19" s="627"/>
      <c r="L19" s="668" t="s">
        <v>459</v>
      </c>
      <c r="M19" s="676"/>
      <c r="N19" s="670">
        <f>Calculations!H79</f>
        <v>3.1935674100389111E-2</v>
      </c>
      <c r="O19" s="669"/>
      <c r="P19" s="669"/>
      <c r="Q19" s="672" t="s">
        <v>448</v>
      </c>
      <c r="R19" s="669"/>
      <c r="S19" s="677">
        <f>Calculations!D81</f>
        <v>0.99614266573922949</v>
      </c>
      <c r="T19" s="669"/>
      <c r="U19" s="657">
        <f>SUM(U9:U18)</f>
        <v>1</v>
      </c>
      <c r="V19" s="658" t="s">
        <v>444</v>
      </c>
      <c r="W19" s="659"/>
      <c r="X19" s="660"/>
      <c r="Y19" s="661">
        <f>SUM(Y9:Y18)</f>
        <v>0.87026273789483155</v>
      </c>
      <c r="Z19" s="662" t="s">
        <v>445</v>
      </c>
      <c r="AA19" s="659"/>
      <c r="AB19" s="659"/>
      <c r="AC19" s="659"/>
      <c r="AD19" s="660"/>
    </row>
    <row r="20" spans="1:30" ht="16" x14ac:dyDescent="0.2">
      <c r="A20" s="13"/>
      <c r="B20" s="13"/>
      <c r="C20" s="627"/>
      <c r="D20" s="627"/>
      <c r="E20" s="627"/>
      <c r="F20" s="627"/>
      <c r="G20" s="627"/>
      <c r="H20" s="627"/>
      <c r="I20" s="627"/>
      <c r="J20" s="627"/>
      <c r="K20" s="627"/>
      <c r="L20" s="678" t="s">
        <v>460</v>
      </c>
      <c r="M20" s="669"/>
      <c r="N20" s="679">
        <f>+N18-N19</f>
        <v>-4.6756410038914509E-4</v>
      </c>
      <c r="O20" s="669"/>
      <c r="P20" s="669"/>
      <c r="Q20" s="680" t="s">
        <v>449</v>
      </c>
      <c r="R20" s="676"/>
      <c r="S20" s="677">
        <f>Calculations!D82</f>
        <v>0.9330974868117804</v>
      </c>
      <c r="T20" s="676"/>
      <c r="U20" s="707" t="s">
        <v>443</v>
      </c>
      <c r="V20" s="703"/>
      <c r="W20" s="703"/>
      <c r="X20" s="703"/>
      <c r="Y20" s="703"/>
      <c r="Z20" s="703"/>
      <c r="AA20" s="703"/>
      <c r="AB20" s="703"/>
      <c r="AC20" s="703"/>
      <c r="AD20" s="708"/>
    </row>
    <row r="21" spans="1:30" ht="16" x14ac:dyDescent="0.2">
      <c r="A21" s="13"/>
      <c r="B21" s="13"/>
      <c r="C21" s="627"/>
      <c r="D21" s="627"/>
      <c r="E21" s="627"/>
      <c r="F21" s="627"/>
      <c r="G21" s="627"/>
      <c r="H21" s="627"/>
      <c r="I21" s="627"/>
      <c r="J21" s="627"/>
      <c r="K21" s="627"/>
      <c r="L21" s="703" t="s">
        <v>425</v>
      </c>
      <c r="M21" s="703"/>
      <c r="N21" s="703"/>
      <c r="O21" s="703"/>
      <c r="P21" s="703"/>
      <c r="Q21" s="703"/>
      <c r="R21" s="703"/>
      <c r="S21" s="703"/>
      <c r="T21" s="703"/>
      <c r="U21" s="636"/>
      <c r="V21" s="637"/>
      <c r="W21" s="637"/>
      <c r="X21" s="637" t="s">
        <v>231</v>
      </c>
      <c r="Y21" s="637" t="s">
        <v>442</v>
      </c>
      <c r="Z21" s="636" t="s">
        <v>450</v>
      </c>
      <c r="AA21" s="638" t="s">
        <v>229</v>
      </c>
      <c r="AB21" s="639" t="s">
        <v>451</v>
      </c>
      <c r="AC21" s="636" t="s">
        <v>189</v>
      </c>
      <c r="AD21" s="638" t="s">
        <v>453</v>
      </c>
    </row>
    <row r="22" spans="1:30" ht="16" x14ac:dyDescent="0.2">
      <c r="A22" s="13"/>
      <c r="B22" s="13"/>
      <c r="C22" s="627"/>
      <c r="D22" s="627"/>
      <c r="E22" s="627"/>
      <c r="F22" s="627"/>
      <c r="G22" s="627"/>
      <c r="H22" s="627"/>
      <c r="I22" s="627"/>
      <c r="J22" s="627"/>
      <c r="K22" s="627"/>
      <c r="L22" s="621"/>
      <c r="M22" s="621"/>
      <c r="N22" s="621"/>
      <c r="O22" s="621"/>
      <c r="P22" s="621"/>
      <c r="Q22" s="621"/>
      <c r="R22" s="621"/>
      <c r="S22" s="621"/>
      <c r="T22" s="621"/>
      <c r="U22" s="640"/>
      <c r="V22" s="641" t="s">
        <v>0</v>
      </c>
      <c r="W22" s="642" t="s">
        <v>1</v>
      </c>
      <c r="X22" s="642" t="s">
        <v>232</v>
      </c>
      <c r="Y22" s="642" t="s">
        <v>168</v>
      </c>
      <c r="Z22" s="640" t="s">
        <v>163</v>
      </c>
      <c r="AA22" s="643" t="s">
        <v>230</v>
      </c>
      <c r="AB22" s="644" t="s">
        <v>163</v>
      </c>
      <c r="AC22" s="640" t="s">
        <v>163</v>
      </c>
      <c r="AD22" s="643" t="s">
        <v>163</v>
      </c>
    </row>
    <row r="23" spans="1:30" ht="16" x14ac:dyDescent="0.2">
      <c r="A23" s="13"/>
      <c r="B23" s="13"/>
      <c r="C23" s="627"/>
      <c r="D23" s="627"/>
      <c r="E23" s="627"/>
      <c r="F23" s="627"/>
      <c r="G23" s="627"/>
      <c r="H23" s="627"/>
      <c r="I23" s="627"/>
      <c r="J23" s="627"/>
      <c r="K23" s="627"/>
      <c r="L23" s="621"/>
      <c r="M23" s="621"/>
      <c r="N23" s="621"/>
      <c r="O23" s="621"/>
      <c r="P23" s="621"/>
      <c r="Q23" s="621"/>
      <c r="R23" s="621"/>
      <c r="S23" s="621"/>
      <c r="T23" s="621"/>
      <c r="U23" s="663"/>
      <c r="V23" s="664" t="str">
        <f>IF('Price Inputs'!C20="","",'Price Inputs'!C20)</f>
        <v>EZU</v>
      </c>
      <c r="W23" s="664" t="str">
        <f>IF('Price Inputs'!D20="","",'Price Inputs'!D20)</f>
        <v xml:space="preserve">iShares Eurozone </v>
      </c>
      <c r="X23" s="664" t="str">
        <f>IF(V23="","",VLOOKUP(V23,'ETF List'!$C$3:$J$90,4,FALSE))</f>
        <v>Intl Equity</v>
      </c>
      <c r="Y23" s="665">
        <f>IF(V23="","",HLOOKUP(V23,Calculations!$C$61:$AG$68,8,FALSE))</f>
        <v>0.12973726210516834</v>
      </c>
      <c r="Z23" s="652">
        <f>IF($V23="","",VLOOKUP('Final Report'!$V23,'Risk &amp; Returns'!$H$27:$M$54,3,FALSE))</f>
        <v>4.3799999999999999E-2</v>
      </c>
      <c r="AA23" s="648">
        <f>IF($V23="","",VLOOKUP('Final Report'!$V23,'Risk &amp; Returns'!$H$27:$M$54,4,FALSE))</f>
        <v>0.18459999999999999</v>
      </c>
      <c r="AB23" s="653">
        <f>IF($V23="","",VLOOKUP('Final Report'!$V23,'Risk &amp; Returns'!$H$27:$M$54,6,FALSE))</f>
        <v>9.2999999999999999E-2</v>
      </c>
      <c r="AC23" s="652">
        <f>IF($V23="","",VLOOKUP('Final Report'!$V23,'Risk &amp; Returns'!$H$27:$P$54,7,FALSE))</f>
        <v>2.4145299145299139E-2</v>
      </c>
      <c r="AD23" s="648">
        <f>IF($V23="","",VLOOKUP('Final Report'!$V23,'Risk &amp; Returns'!$H$27:$P$54,8,FALSE))</f>
        <v>0.28162328591799279</v>
      </c>
    </row>
    <row r="24" spans="1:30" ht="16" x14ac:dyDescent="0.2">
      <c r="A24" s="13"/>
      <c r="B24" s="13"/>
      <c r="C24" s="705" t="s">
        <v>217</v>
      </c>
      <c r="D24" s="705"/>
      <c r="E24" s="705"/>
      <c r="F24" s="705"/>
      <c r="G24" s="705"/>
      <c r="H24" s="705"/>
      <c r="I24" s="705"/>
      <c r="J24" s="705"/>
      <c r="K24" s="705"/>
      <c r="L24" s="621"/>
      <c r="M24" s="621"/>
      <c r="N24" s="621"/>
      <c r="O24" s="621"/>
      <c r="P24" s="621"/>
      <c r="Q24" s="621"/>
      <c r="R24" s="621"/>
      <c r="S24" s="621"/>
      <c r="T24" s="621"/>
      <c r="U24" s="663"/>
      <c r="V24" s="664" t="str">
        <f>IF('Price Inputs'!C21="","",'Price Inputs'!C21)</f>
        <v/>
      </c>
      <c r="W24" s="664" t="str">
        <f>IF('Price Inputs'!D21="","",'Price Inputs'!D21)</f>
        <v/>
      </c>
      <c r="X24" s="664" t="str">
        <f>IF(V24="","",VLOOKUP(V24,'ETF List'!$C$3:$J$90,4,FALSE))</f>
        <v/>
      </c>
      <c r="Y24" s="665" t="str">
        <f>IF(V24="","",HLOOKUP(V24,Calculations!$C$61:$AG$68,8,FALSE))</f>
        <v/>
      </c>
      <c r="Z24" s="652" t="str">
        <f>IF($V24="","",VLOOKUP('Final Report'!$V24,'Risk &amp; Returns'!$H$27:$M$54,3,FALSE))</f>
        <v/>
      </c>
      <c r="AA24" s="648" t="str">
        <f>IF($V24="","",VLOOKUP('Final Report'!$V24,'Risk &amp; Returns'!$H$27:$M$54,4,FALSE))</f>
        <v/>
      </c>
      <c r="AB24" s="653" t="str">
        <f>IF($V24="","",VLOOKUP('Final Report'!$V24,'Risk &amp; Returns'!$H$27:$M$54,6,FALSE))</f>
        <v/>
      </c>
      <c r="AC24" s="652" t="str">
        <f>IF($V24="","",VLOOKUP('Final Report'!$V24,'Risk &amp; Returns'!$H$27:$P$54,7,FALSE))</f>
        <v/>
      </c>
      <c r="AD24" s="648" t="str">
        <f>IF($V24="","",VLOOKUP('Final Report'!$V24,'Risk &amp; Returns'!$H$27:$P$54,8,FALSE))</f>
        <v/>
      </c>
    </row>
    <row r="25" spans="1:30" ht="16" x14ac:dyDescent="0.2">
      <c r="A25" s="13"/>
      <c r="B25" s="13"/>
      <c r="C25" s="666" t="s">
        <v>221</v>
      </c>
      <c r="D25" s="618"/>
      <c r="E25" s="619"/>
      <c r="F25" s="619"/>
      <c r="G25" s="621"/>
      <c r="H25" s="619"/>
      <c r="I25" s="619"/>
      <c r="J25" s="620"/>
      <c r="K25" s="619"/>
      <c r="L25" s="621"/>
      <c r="M25" s="621"/>
      <c r="N25" s="621"/>
      <c r="O25" s="621"/>
      <c r="P25" s="621"/>
      <c r="Q25" s="621"/>
      <c r="R25" s="621"/>
      <c r="S25" s="621"/>
      <c r="T25" s="621"/>
      <c r="U25" s="663"/>
      <c r="V25" s="664" t="str">
        <f>IF('Price Inputs'!C22="","",'Price Inputs'!C22)</f>
        <v/>
      </c>
      <c r="W25" s="664" t="str">
        <f>IF('Price Inputs'!D22="","",'Price Inputs'!D22)</f>
        <v/>
      </c>
      <c r="X25" s="664" t="str">
        <f>IF(V25="","",VLOOKUP(V25,'ETF List'!$C$3:$J$90,4,FALSE))</f>
        <v/>
      </c>
      <c r="Y25" s="665" t="str">
        <f>IF(V25="","",HLOOKUP(V25,Calculations!$C$61:$AG$68,8,FALSE))</f>
        <v/>
      </c>
      <c r="Z25" s="652" t="str">
        <f>IF($V25="","",VLOOKUP('Final Report'!$V25,'Risk &amp; Returns'!$H$27:$M$54,3,FALSE))</f>
        <v/>
      </c>
      <c r="AA25" s="648" t="str">
        <f>IF($V25="","",VLOOKUP('Final Report'!$V25,'Risk &amp; Returns'!$H$27:$M$54,4,FALSE))</f>
        <v/>
      </c>
      <c r="AB25" s="653" t="str">
        <f>IF($V25="","",VLOOKUP('Final Report'!$V25,'Risk &amp; Returns'!$H$27:$M$54,6,FALSE))</f>
        <v/>
      </c>
      <c r="AC25" s="652" t="str">
        <f>IF($V25="","",VLOOKUP('Final Report'!$V25,'Risk &amp; Returns'!$H$27:$P$54,7,FALSE))</f>
        <v/>
      </c>
      <c r="AD25" s="648" t="str">
        <f>IF($V25="","",VLOOKUP('Final Report'!$V25,'Risk &amp; Returns'!$H$27:$P$54,8,FALSE))</f>
        <v/>
      </c>
    </row>
    <row r="26" spans="1:30" ht="16" x14ac:dyDescent="0.2">
      <c r="A26" s="13"/>
      <c r="B26" s="13"/>
      <c r="C26" s="617"/>
      <c r="D26" s="619"/>
      <c r="E26" s="619"/>
      <c r="F26" s="624"/>
      <c r="G26" s="624"/>
      <c r="H26" s="617"/>
      <c r="I26" s="619"/>
      <c r="J26" s="620"/>
      <c r="K26" s="619"/>
      <c r="L26" s="621"/>
      <c r="M26" s="621"/>
      <c r="N26" s="621"/>
      <c r="O26" s="621"/>
      <c r="P26" s="621"/>
      <c r="Q26" s="621"/>
      <c r="R26" s="621"/>
      <c r="S26" s="621"/>
      <c r="T26" s="621"/>
      <c r="U26" s="663"/>
      <c r="V26" s="664" t="str">
        <f>IF('Price Inputs'!C23="","",'Price Inputs'!C23)</f>
        <v/>
      </c>
      <c r="W26" s="664" t="str">
        <f>IF('Price Inputs'!D23="","",'Price Inputs'!D23)</f>
        <v/>
      </c>
      <c r="X26" s="664" t="str">
        <f>IF(V26="","",VLOOKUP(V26,'ETF List'!$C$3:$J$90,4,FALSE))</f>
        <v/>
      </c>
      <c r="Y26" s="665" t="str">
        <f>IF(V26="","",HLOOKUP(V26,Calculations!$C$61:$AG$68,8,FALSE))</f>
        <v/>
      </c>
      <c r="Z26" s="652" t="str">
        <f>IF($V26="","",VLOOKUP('Final Report'!$V26,'Risk &amp; Returns'!$H$27:$M$54,3,FALSE))</f>
        <v/>
      </c>
      <c r="AA26" s="648" t="str">
        <f>IF($V26="","",VLOOKUP('Final Report'!$V26,'Risk &amp; Returns'!$H$27:$M$54,4,FALSE))</f>
        <v/>
      </c>
      <c r="AB26" s="653" t="str">
        <f>IF($V26="","",VLOOKUP('Final Report'!$V26,'Risk &amp; Returns'!$H$27:$M$54,6,FALSE))</f>
        <v/>
      </c>
      <c r="AC26" s="652" t="str">
        <f>IF($V26="","",VLOOKUP('Final Report'!$V26,'Risk &amp; Returns'!$H$27:$P$54,7,FALSE))</f>
        <v/>
      </c>
      <c r="AD26" s="648" t="str">
        <f>IF($V26="","",VLOOKUP('Final Report'!$V26,'Risk &amp; Returns'!$H$27:$P$54,8,FALSE))</f>
        <v/>
      </c>
    </row>
    <row r="27" spans="1:30" ht="16" x14ac:dyDescent="0.2">
      <c r="A27" s="13"/>
      <c r="B27" s="13"/>
      <c r="C27" s="617"/>
      <c r="D27" s="619"/>
      <c r="E27" s="619"/>
      <c r="F27" s="624"/>
      <c r="G27" s="624"/>
      <c r="H27" s="617"/>
      <c r="I27" s="619"/>
      <c r="J27" s="620"/>
      <c r="K27" s="619"/>
      <c r="L27" s="621"/>
      <c r="M27" s="621"/>
      <c r="N27" s="621"/>
      <c r="O27" s="621"/>
      <c r="P27" s="621"/>
      <c r="Q27" s="621"/>
      <c r="R27" s="621"/>
      <c r="S27" s="621"/>
      <c r="T27" s="621"/>
      <c r="U27" s="663"/>
      <c r="V27" s="664" t="str">
        <f>IF('Price Inputs'!C24="","",'Price Inputs'!C24)</f>
        <v/>
      </c>
      <c r="W27" s="664" t="str">
        <f>IF('Price Inputs'!D24="","",'Price Inputs'!D24)</f>
        <v/>
      </c>
      <c r="X27" s="664" t="str">
        <f>IF(V27="","",VLOOKUP(V27,'ETF List'!$C$3:$J$90,4,FALSE))</f>
        <v/>
      </c>
      <c r="Y27" s="665" t="str">
        <f>IF(V27="","",HLOOKUP(V27,Calculations!$C$61:$AG$68,8,FALSE))</f>
        <v/>
      </c>
      <c r="Z27" s="652" t="str">
        <f>IF($V27="","",VLOOKUP('Final Report'!$V27,'Risk &amp; Returns'!$H$27:$M$54,3,FALSE))</f>
        <v/>
      </c>
      <c r="AA27" s="648" t="str">
        <f>IF($V27="","",VLOOKUP('Final Report'!$V27,'Risk &amp; Returns'!$H$27:$M$54,4,FALSE))</f>
        <v/>
      </c>
      <c r="AB27" s="653" t="str">
        <f>IF($V27="","",VLOOKUP('Final Report'!$V27,'Risk &amp; Returns'!$H$27:$M$54,6,FALSE))</f>
        <v/>
      </c>
      <c r="AC27" s="652" t="str">
        <f>IF($V27="","",VLOOKUP('Final Report'!$V27,'Risk &amp; Returns'!$H$27:$P$54,7,FALSE))</f>
        <v/>
      </c>
      <c r="AD27" s="648" t="str">
        <f>IF($V27="","",VLOOKUP('Final Report'!$V27,'Risk &amp; Returns'!$H$27:$P$54,8,FALSE))</f>
        <v/>
      </c>
    </row>
    <row r="28" spans="1:30" ht="16" x14ac:dyDescent="0.2">
      <c r="A28" s="13"/>
      <c r="B28" s="13"/>
      <c r="C28" s="617"/>
      <c r="D28" s="619"/>
      <c r="E28" s="619"/>
      <c r="F28" s="624"/>
      <c r="G28" s="624"/>
      <c r="H28" s="617"/>
      <c r="I28" s="619"/>
      <c r="J28" s="620"/>
      <c r="K28" s="619"/>
      <c r="L28" s="621"/>
      <c r="M28" s="621"/>
      <c r="N28" s="621"/>
      <c r="O28" s="621"/>
      <c r="P28" s="621"/>
      <c r="Q28" s="621"/>
      <c r="R28" s="621"/>
      <c r="S28" s="621"/>
      <c r="T28" s="621"/>
      <c r="U28" s="663"/>
      <c r="V28" s="664" t="str">
        <f>IF('Price Inputs'!C25="","",'Price Inputs'!C25)</f>
        <v/>
      </c>
      <c r="W28" s="664" t="str">
        <f>IF('Price Inputs'!D25="","",'Price Inputs'!D25)</f>
        <v/>
      </c>
      <c r="X28" s="664" t="str">
        <f>IF(V28="","",VLOOKUP(V28,'ETF List'!$C$3:$J$90,4,FALSE))</f>
        <v/>
      </c>
      <c r="Y28" s="665" t="str">
        <f>IF(V28="","",HLOOKUP(V28,Calculations!$C$61:$AG$68,8,FALSE))</f>
        <v/>
      </c>
      <c r="Z28" s="652" t="str">
        <f>IF($V28="","",VLOOKUP('Final Report'!$V28,'Risk &amp; Returns'!$H$27:$M$54,3,FALSE))</f>
        <v/>
      </c>
      <c r="AA28" s="648" t="str">
        <f>IF($V28="","",VLOOKUP('Final Report'!$V28,'Risk &amp; Returns'!$H$27:$M$54,4,FALSE))</f>
        <v/>
      </c>
      <c r="AB28" s="653" t="str">
        <f>IF($V28="","",VLOOKUP('Final Report'!$V28,'Risk &amp; Returns'!$H$27:$M$54,6,FALSE))</f>
        <v/>
      </c>
      <c r="AC28" s="652" t="str">
        <f>IF($V28="","",VLOOKUP('Final Report'!$V28,'Risk &amp; Returns'!$H$27:$P$54,7,FALSE))</f>
        <v/>
      </c>
      <c r="AD28" s="648" t="str">
        <f>IF($V28="","",VLOOKUP('Final Report'!$V28,'Risk &amp; Returns'!$H$27:$P$54,8,FALSE))</f>
        <v/>
      </c>
    </row>
    <row r="29" spans="1:30" ht="16" x14ac:dyDescent="0.2">
      <c r="A29" s="13"/>
      <c r="B29" s="13"/>
      <c r="C29" s="617"/>
      <c r="D29" s="619"/>
      <c r="E29" s="619"/>
      <c r="F29" s="624"/>
      <c r="G29" s="624"/>
      <c r="H29" s="617"/>
      <c r="I29" s="617" t="s">
        <v>429</v>
      </c>
      <c r="J29" s="620"/>
      <c r="K29" s="619"/>
      <c r="L29" s="621"/>
      <c r="M29" s="621"/>
      <c r="N29" s="621"/>
      <c r="O29" s="621"/>
      <c r="P29" s="621"/>
      <c r="Q29" s="621"/>
      <c r="R29" s="621"/>
      <c r="S29" s="621"/>
      <c r="T29" s="621"/>
      <c r="U29" s="663"/>
      <c r="V29" s="664" t="str">
        <f>IF('Price Inputs'!C26="","",'Price Inputs'!C26)</f>
        <v/>
      </c>
      <c r="W29" s="664" t="str">
        <f>IF('Price Inputs'!D26="","",'Price Inputs'!D26)</f>
        <v/>
      </c>
      <c r="X29" s="664" t="str">
        <f>IF(V29="","",VLOOKUP(V29,'ETF List'!$C$3:$J$90,4,FALSE))</f>
        <v/>
      </c>
      <c r="Y29" s="665" t="str">
        <f>IF(V29="","",HLOOKUP(V29,Calculations!$C$61:$AG$68,8,FALSE))</f>
        <v/>
      </c>
      <c r="Z29" s="652" t="str">
        <f>IF($V29="","",VLOOKUP('Final Report'!$V29,'Risk &amp; Returns'!$H$27:$M$54,3,FALSE))</f>
        <v/>
      </c>
      <c r="AA29" s="648" t="str">
        <f>IF($V29="","",VLOOKUP('Final Report'!$V29,'Risk &amp; Returns'!$H$27:$M$54,4,FALSE))</f>
        <v/>
      </c>
      <c r="AB29" s="653" t="str">
        <f>IF($V29="","",VLOOKUP('Final Report'!$V29,'Risk &amp; Returns'!$H$27:$M$54,6,FALSE))</f>
        <v/>
      </c>
      <c r="AC29" s="652" t="str">
        <f>IF($V29="","",VLOOKUP('Final Report'!$V29,'Risk &amp; Returns'!$H$27:$P$54,7,FALSE))</f>
        <v/>
      </c>
      <c r="AD29" s="648" t="str">
        <f>IF($V29="","",VLOOKUP('Final Report'!$V29,'Risk &amp; Returns'!$H$27:$P$54,8,FALSE))</f>
        <v/>
      </c>
    </row>
    <row r="30" spans="1:30" ht="16" x14ac:dyDescent="0.2">
      <c r="A30" s="13"/>
      <c r="B30" s="13"/>
      <c r="C30" s="666" t="s">
        <v>222</v>
      </c>
      <c r="D30" s="619"/>
      <c r="E30" s="619"/>
      <c r="F30" s="624"/>
      <c r="G30" s="624"/>
      <c r="H30" s="617"/>
      <c r="I30" s="619"/>
      <c r="J30" s="620"/>
      <c r="K30" s="619"/>
      <c r="L30" s="621"/>
      <c r="M30" s="621"/>
      <c r="N30" s="621"/>
      <c r="O30" s="621"/>
      <c r="P30" s="621"/>
      <c r="Q30" s="621"/>
      <c r="R30" s="621"/>
      <c r="S30" s="621"/>
      <c r="T30" s="621"/>
      <c r="U30" s="663"/>
      <c r="V30" s="664" t="str">
        <f>IF('Price Inputs'!C27="","",'Price Inputs'!C27)</f>
        <v/>
      </c>
      <c r="W30" s="664" t="str">
        <f>IF('Price Inputs'!D27="","",'Price Inputs'!D27)</f>
        <v/>
      </c>
      <c r="X30" s="664" t="str">
        <f>IF(V30="","",VLOOKUP(V30,'ETF List'!$C$3:$J$90,4,FALSE))</f>
        <v/>
      </c>
      <c r="Y30" s="665" t="str">
        <f>IF(V30="","",HLOOKUP(V30,Calculations!$C$61:$AG$68,8,FALSE))</f>
        <v/>
      </c>
      <c r="Z30" s="652" t="str">
        <f>IF($V30="","",VLOOKUP('Final Report'!$V30,'Risk &amp; Returns'!$H$27:$M$54,3,FALSE))</f>
        <v/>
      </c>
      <c r="AA30" s="648" t="str">
        <f>IF($V30="","",VLOOKUP('Final Report'!$V30,'Risk &amp; Returns'!$H$27:$M$54,4,FALSE))</f>
        <v/>
      </c>
      <c r="AB30" s="653" t="str">
        <f>IF($V30="","",VLOOKUP('Final Report'!$V30,'Risk &amp; Returns'!$H$27:$M$54,6,FALSE))</f>
        <v/>
      </c>
      <c r="AC30" s="652" t="str">
        <f>IF($V30="","",VLOOKUP('Final Report'!$V30,'Risk &amp; Returns'!$H$27:$P$54,7,FALSE))</f>
        <v/>
      </c>
      <c r="AD30" s="648" t="str">
        <f>IF($V30="","",VLOOKUP('Final Report'!$V30,'Risk &amp; Returns'!$H$27:$P$54,8,FALSE))</f>
        <v/>
      </c>
    </row>
    <row r="31" spans="1:30" ht="16" x14ac:dyDescent="0.2">
      <c r="A31" s="13"/>
      <c r="B31" s="13"/>
      <c r="C31" s="617"/>
      <c r="D31" s="619"/>
      <c r="E31" s="619"/>
      <c r="F31" s="619"/>
      <c r="G31" s="619"/>
      <c r="H31" s="617"/>
      <c r="I31" s="619"/>
      <c r="J31" s="620"/>
      <c r="K31" s="619"/>
      <c r="L31" s="621"/>
      <c r="M31" s="621"/>
      <c r="N31" s="621"/>
      <c r="O31" s="621"/>
      <c r="P31" s="621"/>
      <c r="Q31" s="621"/>
      <c r="R31" s="621"/>
      <c r="S31" s="621"/>
      <c r="T31" s="621"/>
      <c r="U31" s="663"/>
      <c r="V31" s="664" t="str">
        <f>IF('Price Inputs'!C28="","",'Price Inputs'!C28)</f>
        <v/>
      </c>
      <c r="W31" s="664" t="str">
        <f>IF('Price Inputs'!D28="","",'Price Inputs'!D28)</f>
        <v/>
      </c>
      <c r="X31" s="664" t="str">
        <f>IF(V31="","",VLOOKUP(V31,'ETF List'!$C$3:$J$90,4,FALSE))</f>
        <v/>
      </c>
      <c r="Y31" s="665" t="str">
        <f>IF(V31="","",HLOOKUP(V31,Calculations!$C$61:$AG$68,8,FALSE))</f>
        <v/>
      </c>
      <c r="Z31" s="652" t="str">
        <f>IF($V31="","",VLOOKUP('Final Report'!$V31,'Risk &amp; Returns'!$H$27:$M$54,3,FALSE))</f>
        <v/>
      </c>
      <c r="AA31" s="648" t="str">
        <f>IF($V31="","",VLOOKUP('Final Report'!$V31,'Risk &amp; Returns'!$H$27:$M$54,4,FALSE))</f>
        <v/>
      </c>
      <c r="AB31" s="653" t="str">
        <f>IF($V31="","",VLOOKUP('Final Report'!$V31,'Risk &amp; Returns'!$H$27:$M$54,6,FALSE))</f>
        <v/>
      </c>
      <c r="AC31" s="652" t="str">
        <f>IF($V31="","",VLOOKUP('Final Report'!$V31,'Risk &amp; Returns'!$H$27:$P$54,7,FALSE))</f>
        <v/>
      </c>
      <c r="AD31" s="648" t="str">
        <f>IF($V31="","",VLOOKUP('Final Report'!$V31,'Risk &amp; Returns'!$H$27:$P$54,8,FALSE))</f>
        <v/>
      </c>
    </row>
    <row r="32" spans="1:30" ht="16" x14ac:dyDescent="0.2">
      <c r="A32" s="13"/>
      <c r="B32" s="13"/>
      <c r="C32" s="627"/>
      <c r="D32" s="627"/>
      <c r="E32" s="627"/>
      <c r="F32" s="627"/>
      <c r="G32" s="627"/>
      <c r="H32" s="627"/>
      <c r="I32" s="627"/>
      <c r="J32" s="627"/>
      <c r="K32" s="627"/>
      <c r="L32" s="621"/>
      <c r="M32" s="621"/>
      <c r="N32" s="621"/>
      <c r="O32" s="621"/>
      <c r="P32" s="621"/>
      <c r="Q32" s="621"/>
      <c r="R32" s="621"/>
      <c r="S32" s="621"/>
      <c r="T32" s="621"/>
      <c r="U32" s="663"/>
      <c r="V32" s="664" t="str">
        <f>IF('Price Inputs'!C29="","",'Price Inputs'!C29)</f>
        <v/>
      </c>
      <c r="W32" s="664" t="str">
        <f>IF('Price Inputs'!D29="","",'Price Inputs'!D29)</f>
        <v/>
      </c>
      <c r="X32" s="664" t="str">
        <f>IF(V32="","",VLOOKUP(V32,'ETF List'!$C$3:$J$90,4,FALSE))</f>
        <v/>
      </c>
      <c r="Y32" s="665" t="str">
        <f>IF(V32="","",HLOOKUP(V32,Calculations!$C$61:$AG$68,8,FALSE))</f>
        <v/>
      </c>
      <c r="Z32" s="652" t="str">
        <f>IF($V32="","",VLOOKUP('Final Report'!$V32,'Risk &amp; Returns'!$H$27:$M$54,3,FALSE))</f>
        <v/>
      </c>
      <c r="AA32" s="648" t="str">
        <f>IF($V32="","",VLOOKUP('Final Report'!$V32,'Risk &amp; Returns'!$H$27:$M$54,4,FALSE))</f>
        <v/>
      </c>
      <c r="AB32" s="653" t="str">
        <f>IF($V32="","",VLOOKUP('Final Report'!$V32,'Risk &amp; Returns'!$H$27:$M$54,6,FALSE))</f>
        <v/>
      </c>
      <c r="AC32" s="652" t="str">
        <f>IF($V32="","",VLOOKUP('Final Report'!$V32,'Risk &amp; Returns'!$H$27:$P$54,7,FALSE))</f>
        <v/>
      </c>
      <c r="AD32" s="648" t="str">
        <f>IF($V32="","",VLOOKUP('Final Report'!$V32,'Risk &amp; Returns'!$H$27:$P$54,8,FALSE))</f>
        <v/>
      </c>
    </row>
    <row r="33" spans="1:30" ht="16" x14ac:dyDescent="0.2">
      <c r="A33" s="13"/>
      <c r="B33" s="13"/>
      <c r="C33" s="627"/>
      <c r="D33" s="627"/>
      <c r="E33" s="627"/>
      <c r="F33" s="627"/>
      <c r="G33" s="627"/>
      <c r="H33" s="627"/>
      <c r="I33" s="627"/>
      <c r="J33" s="627"/>
      <c r="K33" s="627"/>
      <c r="L33" s="621"/>
      <c r="M33" s="621"/>
      <c r="N33" s="621"/>
      <c r="O33" s="621"/>
      <c r="P33" s="621"/>
      <c r="Q33" s="621"/>
      <c r="R33" s="621"/>
      <c r="S33" s="621"/>
      <c r="T33" s="621"/>
      <c r="U33" s="663"/>
      <c r="V33" s="664" t="str">
        <f>IF('Price Inputs'!C30="","",'Price Inputs'!C30)</f>
        <v/>
      </c>
      <c r="W33" s="664" t="str">
        <f>IF('Price Inputs'!D30="","",'Price Inputs'!D30)</f>
        <v/>
      </c>
      <c r="X33" s="664" t="str">
        <f>IF(V33="","",VLOOKUP(V33,'ETF List'!$C$3:$J$90,4,FALSE))</f>
        <v/>
      </c>
      <c r="Y33" s="665" t="str">
        <f>IF(V33="","",HLOOKUP(V33,Calculations!$C$61:$AG$68,8,FALSE))</f>
        <v/>
      </c>
      <c r="Z33" s="652" t="str">
        <f>IF($V33="","",VLOOKUP('Final Report'!$V33,'Risk &amp; Returns'!$H$27:$M$54,3,FALSE))</f>
        <v/>
      </c>
      <c r="AA33" s="648" t="str">
        <f>IF($V33="","",VLOOKUP('Final Report'!$V33,'Risk &amp; Returns'!$H$27:$M$54,4,FALSE))</f>
        <v/>
      </c>
      <c r="AB33" s="653" t="str">
        <f>IF($V33="","",VLOOKUP('Final Report'!$V33,'Risk &amp; Returns'!$H$27:$M$54,6,FALSE))</f>
        <v/>
      </c>
      <c r="AC33" s="652" t="str">
        <f>IF($V33="","",VLOOKUP('Final Report'!$V33,'Risk &amp; Returns'!$H$27:$P$54,7,FALSE))</f>
        <v/>
      </c>
      <c r="AD33" s="648" t="str">
        <f>IF($V33="","",VLOOKUP('Final Report'!$V33,'Risk &amp; Returns'!$H$27:$P$54,8,FALSE))</f>
        <v/>
      </c>
    </row>
    <row r="34" spans="1:30" ht="16" x14ac:dyDescent="0.2">
      <c r="A34" s="13"/>
      <c r="B34" s="13"/>
      <c r="C34" s="627"/>
      <c r="D34" s="627"/>
      <c r="E34" s="627"/>
      <c r="F34" s="627"/>
      <c r="G34" s="627"/>
      <c r="H34" s="627"/>
      <c r="I34" s="627"/>
      <c r="J34" s="627"/>
      <c r="K34" s="627"/>
      <c r="L34" s="621"/>
      <c r="M34" s="621"/>
      <c r="N34" s="621"/>
      <c r="O34" s="621"/>
      <c r="P34" s="621"/>
      <c r="Q34" s="621"/>
      <c r="R34" s="621"/>
      <c r="S34" s="621"/>
      <c r="T34" s="621"/>
      <c r="U34" s="663"/>
      <c r="V34" s="664" t="str">
        <f>IF('Price Inputs'!C31="","",'Price Inputs'!C31)</f>
        <v/>
      </c>
      <c r="W34" s="664" t="str">
        <f>IF('Price Inputs'!D31="","",'Price Inputs'!D31)</f>
        <v/>
      </c>
      <c r="X34" s="664" t="str">
        <f>IF(V34="","",VLOOKUP(V34,'ETF List'!$C$3:$J$90,4,FALSE))</f>
        <v/>
      </c>
      <c r="Y34" s="665" t="str">
        <f>IF(V34="","",HLOOKUP(V34,Calculations!$C$61:$AG$68,8,FALSE))</f>
        <v/>
      </c>
      <c r="Z34" s="652" t="str">
        <f>IF($V34="","",VLOOKUP('Final Report'!$V34,'Risk &amp; Returns'!$H$27:$M$54,3,FALSE))</f>
        <v/>
      </c>
      <c r="AA34" s="648" t="str">
        <f>IF($V34="","",VLOOKUP('Final Report'!$V34,'Risk &amp; Returns'!$H$27:$M$54,4,FALSE))</f>
        <v/>
      </c>
      <c r="AB34" s="653" t="str">
        <f>IF($V34="","",VLOOKUP('Final Report'!$V34,'Risk &amp; Returns'!$H$27:$M$54,6,FALSE))</f>
        <v/>
      </c>
      <c r="AC34" s="652" t="str">
        <f>IF($V34="","",VLOOKUP('Final Report'!$V34,'Risk &amp; Returns'!$H$27:$P$54,7,FALSE))</f>
        <v/>
      </c>
      <c r="AD34" s="648" t="str">
        <f>IF($V34="","",VLOOKUP('Final Report'!$V34,'Risk &amp; Returns'!$H$27:$P$54,8,FALSE))</f>
        <v/>
      </c>
    </row>
    <row r="35" spans="1:30" ht="16" x14ac:dyDescent="0.2">
      <c r="A35" s="13"/>
      <c r="B35" s="13"/>
      <c r="C35" s="627"/>
      <c r="D35" s="627"/>
      <c r="E35" s="627"/>
      <c r="F35" s="627"/>
      <c r="G35" s="627"/>
      <c r="H35" s="627"/>
      <c r="I35" s="627"/>
      <c r="J35" s="627"/>
      <c r="K35" s="627"/>
      <c r="L35" s="628"/>
      <c r="M35" s="628"/>
      <c r="N35" s="628"/>
      <c r="O35" s="628"/>
      <c r="P35" s="628"/>
      <c r="Q35" s="628"/>
      <c r="R35" s="628"/>
      <c r="S35" s="628"/>
      <c r="T35" s="628"/>
      <c r="U35" s="663"/>
      <c r="V35" s="664" t="str">
        <f>IF('Price Inputs'!C32="","",'Price Inputs'!C32)</f>
        <v/>
      </c>
      <c r="W35" s="664" t="str">
        <f>IF('Price Inputs'!D32="","",'Price Inputs'!D32)</f>
        <v/>
      </c>
      <c r="X35" s="664" t="str">
        <f>IF(V35="","",VLOOKUP(V35,'ETF List'!$C$3:$J$90,4,FALSE))</f>
        <v/>
      </c>
      <c r="Y35" s="665" t="str">
        <f>IF(V35="","",HLOOKUP(V35,Calculations!$C$61:$AG$68,8,FALSE))</f>
        <v/>
      </c>
      <c r="Z35" s="652" t="str">
        <f>IF($V35="","",VLOOKUP('Final Report'!$V35,'Risk &amp; Returns'!$H$27:$M$54,3,FALSE))</f>
        <v/>
      </c>
      <c r="AA35" s="648" t="str">
        <f>IF($V35="","",VLOOKUP('Final Report'!$V35,'Risk &amp; Returns'!$H$27:$M$54,4,FALSE))</f>
        <v/>
      </c>
      <c r="AB35" s="653" t="str">
        <f>IF($V35="","",VLOOKUP('Final Report'!$V35,'Risk &amp; Returns'!$H$27:$M$54,6,FALSE))</f>
        <v/>
      </c>
      <c r="AC35" s="652" t="str">
        <f>IF($V35="","",VLOOKUP('Final Report'!$V35,'Risk &amp; Returns'!$H$27:$P$54,7,FALSE))</f>
        <v/>
      </c>
      <c r="AD35" s="648" t="str">
        <f>IF($V35="","",VLOOKUP('Final Report'!$V35,'Risk &amp; Returns'!$H$27:$P$54,8,FALSE))</f>
        <v/>
      </c>
    </row>
    <row r="36" spans="1:30" x14ac:dyDescent="0.2">
      <c r="A36" s="13"/>
      <c r="B36" s="13"/>
      <c r="C36" s="621"/>
      <c r="D36" s="621"/>
      <c r="E36" s="621"/>
      <c r="F36" s="621"/>
      <c r="G36" s="621"/>
      <c r="H36" s="621"/>
      <c r="I36" s="621"/>
      <c r="J36" s="621"/>
      <c r="K36" s="621"/>
      <c r="L36" s="621"/>
      <c r="M36" s="621"/>
      <c r="N36" s="621"/>
      <c r="O36" s="621"/>
      <c r="P36" s="621"/>
      <c r="Q36" s="621"/>
      <c r="R36" s="621"/>
      <c r="S36" s="621"/>
      <c r="T36" s="621"/>
      <c r="U36" s="663"/>
      <c r="V36" s="664" t="str">
        <f>IF('Price Inputs'!C33="","",'Price Inputs'!C33)</f>
        <v/>
      </c>
      <c r="W36" s="664" t="str">
        <f>IF('Price Inputs'!D33="","",'Price Inputs'!D33)</f>
        <v/>
      </c>
      <c r="X36" s="664" t="str">
        <f>IF(V36="","",VLOOKUP(V36,'ETF List'!$C$3:$J$90,4,FALSE))</f>
        <v/>
      </c>
      <c r="Y36" s="665" t="str">
        <f>IF(V36="","",HLOOKUP(V36,Calculations!$C$61:$AG$68,8,FALSE))</f>
        <v/>
      </c>
      <c r="Z36" s="652" t="str">
        <f>IF($V36="","",VLOOKUP('Final Report'!$V36,'Risk &amp; Returns'!$H$27:$M$54,3,FALSE))</f>
        <v/>
      </c>
      <c r="AA36" s="648" t="str">
        <f>IF($V36="","",VLOOKUP('Final Report'!$V36,'Risk &amp; Returns'!$H$27:$M$54,4,FALSE))</f>
        <v/>
      </c>
      <c r="AB36" s="653" t="str">
        <f>IF($V36="","",VLOOKUP('Final Report'!$V36,'Risk &amp; Returns'!$H$27:$M$54,6,FALSE))</f>
        <v/>
      </c>
      <c r="AC36" s="652" t="str">
        <f>IF($V36="","",VLOOKUP('Final Report'!$V36,'Risk &amp; Returns'!$H$27:$P$54,7,FALSE))</f>
        <v/>
      </c>
      <c r="AD36" s="648" t="str">
        <f>IF($V36="","",VLOOKUP('Final Report'!$V36,'Risk &amp; Returns'!$H$27:$P$54,8,FALSE))</f>
        <v/>
      </c>
    </row>
    <row r="37" spans="1:30" x14ac:dyDescent="0.2">
      <c r="B37" s="13"/>
      <c r="C37" s="621"/>
      <c r="D37" s="621"/>
      <c r="E37" s="621"/>
      <c r="F37" s="621"/>
      <c r="G37" s="621"/>
      <c r="H37" s="621"/>
      <c r="I37" s="621"/>
      <c r="J37" s="621"/>
      <c r="K37" s="621"/>
      <c r="L37" s="629"/>
      <c r="M37" s="628"/>
      <c r="N37" s="628"/>
      <c r="O37" s="628"/>
      <c r="P37" s="628"/>
      <c r="Q37" s="628"/>
      <c r="R37" s="628"/>
      <c r="S37" s="628"/>
      <c r="T37" s="628"/>
      <c r="U37" s="663"/>
      <c r="V37" s="664" t="str">
        <f>IF('Price Inputs'!C34="","",'Price Inputs'!C34)</f>
        <v/>
      </c>
      <c r="W37" s="664" t="str">
        <f>IF('Price Inputs'!D34="","",'Price Inputs'!D34)</f>
        <v/>
      </c>
      <c r="X37" s="664" t="str">
        <f>IF(V37="","",VLOOKUP(V37,'ETF List'!$C$3:$J$90,4,FALSE))</f>
        <v/>
      </c>
      <c r="Y37" s="665" t="str">
        <f>IF(V37="","",HLOOKUP(V37,Calculations!$C$61:$AG$68,8,FALSE))</f>
        <v/>
      </c>
      <c r="Z37" s="652" t="str">
        <f>IF($V37="","",VLOOKUP('Final Report'!$V37,'Risk &amp; Returns'!$H$27:$M$54,3,FALSE))</f>
        <v/>
      </c>
      <c r="AA37" s="648" t="str">
        <f>IF($V37="","",VLOOKUP('Final Report'!$V37,'Risk &amp; Returns'!$H$27:$M$54,4,FALSE))</f>
        <v/>
      </c>
      <c r="AB37" s="653" t="str">
        <f>IF($V37="","",VLOOKUP('Final Report'!$V37,'Risk &amp; Returns'!$H$27:$M$54,6,FALSE))</f>
        <v/>
      </c>
      <c r="AC37" s="652" t="str">
        <f>IF($V37="","",VLOOKUP('Final Report'!$V37,'Risk &amp; Returns'!$H$27:$P$54,7,FALSE))</f>
        <v/>
      </c>
      <c r="AD37" s="648" t="str">
        <f>IF($V37="","",VLOOKUP('Final Report'!$V37,'Risk &amp; Returns'!$H$27:$P$54,8,FALSE))</f>
        <v/>
      </c>
    </row>
    <row r="38" spans="1:30" ht="16" x14ac:dyDescent="0.2">
      <c r="A38" s="13"/>
      <c r="B38" s="13"/>
      <c r="C38" s="703" t="s">
        <v>391</v>
      </c>
      <c r="D38" s="703"/>
      <c r="E38" s="703"/>
      <c r="F38" s="703"/>
      <c r="G38" s="703"/>
      <c r="H38" s="703"/>
      <c r="I38" s="703"/>
      <c r="J38" s="703"/>
      <c r="K38" s="703"/>
      <c r="L38" s="703" t="s">
        <v>390</v>
      </c>
      <c r="M38" s="703"/>
      <c r="N38" s="703"/>
      <c r="O38" s="703"/>
      <c r="P38" s="703"/>
      <c r="Q38" s="703"/>
      <c r="R38" s="703"/>
      <c r="S38" s="703"/>
      <c r="T38" s="703"/>
      <c r="U38" s="663"/>
      <c r="V38" s="664" t="str">
        <f>IF('Price Inputs'!C35="","",'Price Inputs'!C35)</f>
        <v/>
      </c>
      <c r="W38" s="664" t="str">
        <f>IF('Price Inputs'!D35="","",'Price Inputs'!D35)</f>
        <v/>
      </c>
      <c r="X38" s="664" t="str">
        <f>IF(V38="","",VLOOKUP(V38,'ETF List'!$C$3:$J$90,4,FALSE))</f>
        <v/>
      </c>
      <c r="Y38" s="665" t="str">
        <f>IF(V38="","",HLOOKUP(V38,Calculations!$C$61:$AG$68,8,FALSE))</f>
        <v/>
      </c>
      <c r="Z38" s="652" t="str">
        <f>IF($V38="","",VLOOKUP('Final Report'!$V38,'Risk &amp; Returns'!$H$27:$M$54,3,FALSE))</f>
        <v/>
      </c>
      <c r="AA38" s="648" t="str">
        <f>IF($V38="","",VLOOKUP('Final Report'!$V38,'Risk &amp; Returns'!$H$27:$M$54,4,FALSE))</f>
        <v/>
      </c>
      <c r="AB38" s="653" t="str">
        <f>IF($V38="","",VLOOKUP('Final Report'!$V38,'Risk &amp; Returns'!$H$27:$M$54,6,FALSE))</f>
        <v/>
      </c>
      <c r="AC38" s="652" t="str">
        <f>IF($V38="","",VLOOKUP('Final Report'!$V38,'Risk &amp; Returns'!$H$27:$P$54,7,FALSE))</f>
        <v/>
      </c>
      <c r="AD38" s="648" t="str">
        <f>IF($V38="","",VLOOKUP('Final Report'!$V38,'Risk &amp; Returns'!$H$27:$P$54,8,FALSE))</f>
        <v/>
      </c>
    </row>
    <row r="39" spans="1:30" ht="15" customHeight="1" x14ac:dyDescent="0.2">
      <c r="A39" s="13"/>
      <c r="B39" s="13"/>
      <c r="C39" s="701" t="s">
        <v>352</v>
      </c>
      <c r="D39" s="701"/>
      <c r="E39" s="701"/>
      <c r="F39" s="701"/>
      <c r="G39" s="702" t="s">
        <v>353</v>
      </c>
      <c r="H39" s="702"/>
      <c r="I39" s="702"/>
      <c r="J39" s="702"/>
      <c r="K39" s="702"/>
      <c r="L39" s="621"/>
      <c r="M39" s="621"/>
      <c r="N39" s="621"/>
      <c r="O39" s="621"/>
      <c r="P39" s="621"/>
      <c r="Q39" s="621"/>
      <c r="R39" s="621"/>
      <c r="S39" s="621"/>
      <c r="T39" s="621"/>
      <c r="U39" s="663"/>
      <c r="V39" s="664" t="str">
        <f>IF('Price Inputs'!C36="","",'Price Inputs'!C36)</f>
        <v/>
      </c>
      <c r="W39" s="664" t="str">
        <f>IF('Price Inputs'!D36="","",'Price Inputs'!D36)</f>
        <v/>
      </c>
      <c r="X39" s="664" t="str">
        <f>IF(V39="","",VLOOKUP(V39,'ETF List'!$C$3:$J$90,4,FALSE))</f>
        <v/>
      </c>
      <c r="Y39" s="665" t="str">
        <f>IF(V39="","",HLOOKUP(V39,Calculations!$C$61:$AG$68,8,FALSE))</f>
        <v/>
      </c>
      <c r="Z39" s="652" t="str">
        <f>IF($V39="","",VLOOKUP('Final Report'!$V39,'Risk &amp; Returns'!$H$27:$M$54,3,FALSE))</f>
        <v/>
      </c>
      <c r="AA39" s="648" t="str">
        <f>IF($V39="","",VLOOKUP('Final Report'!$V39,'Risk &amp; Returns'!$H$27:$M$54,4,FALSE))</f>
        <v/>
      </c>
      <c r="AB39" s="653" t="str">
        <f>IF($V39="","",VLOOKUP('Final Report'!$V39,'Risk &amp; Returns'!$H$27:$M$54,6,FALSE))</f>
        <v/>
      </c>
      <c r="AC39" s="652" t="str">
        <f>IF($V39="","",VLOOKUP('Final Report'!$V39,'Risk &amp; Returns'!$H$27:$P$54,7,FALSE))</f>
        <v/>
      </c>
      <c r="AD39" s="648" t="str">
        <f>IF($V39="","",VLOOKUP('Final Report'!$V39,'Risk &amp; Returns'!$H$27:$P$54,8,FALSE))</f>
        <v/>
      </c>
    </row>
    <row r="40" spans="1:30" ht="16" x14ac:dyDescent="0.2">
      <c r="A40" s="13"/>
      <c r="B40" s="13"/>
      <c r="C40" s="630"/>
      <c r="D40" s="619"/>
      <c r="E40" s="619"/>
      <c r="F40" s="619"/>
      <c r="G40" s="619"/>
      <c r="H40" s="617"/>
      <c r="I40" s="631"/>
      <c r="J40" s="619"/>
      <c r="K40" s="619"/>
      <c r="L40" s="621"/>
      <c r="M40" s="621"/>
      <c r="N40" s="621"/>
      <c r="O40" s="621"/>
      <c r="P40" s="621"/>
      <c r="Q40" s="621"/>
      <c r="R40" s="621"/>
      <c r="S40" s="621"/>
      <c r="T40" s="621"/>
      <c r="U40" s="663"/>
      <c r="V40" s="664" t="str">
        <f>IF('Price Inputs'!C37="","",'Price Inputs'!C37)</f>
        <v/>
      </c>
      <c r="W40" s="664" t="str">
        <f>IF('Price Inputs'!D37="","",'Price Inputs'!D37)</f>
        <v/>
      </c>
      <c r="X40" s="664" t="str">
        <f>IF(V40="","",VLOOKUP(V40,'ETF List'!$C$3:$J$90,4,FALSE))</f>
        <v/>
      </c>
      <c r="Y40" s="665" t="str">
        <f>IF(V40="","",HLOOKUP(V40,Calculations!$C$61:$AG$68,8,FALSE))</f>
        <v/>
      </c>
      <c r="Z40" s="652" t="str">
        <f>IF($V40="","",VLOOKUP('Final Report'!$V40,'Risk &amp; Returns'!$H$27:$M$54,3,FALSE))</f>
        <v/>
      </c>
      <c r="AA40" s="648" t="str">
        <f>IF($V40="","",VLOOKUP('Final Report'!$V40,'Risk &amp; Returns'!$H$27:$M$54,4,FALSE))</f>
        <v/>
      </c>
      <c r="AB40" s="653" t="str">
        <f>IF($V40="","",VLOOKUP('Final Report'!$V40,'Risk &amp; Returns'!$H$27:$M$54,6,FALSE))</f>
        <v/>
      </c>
      <c r="AC40" s="652" t="str">
        <f>IF($V40="","",VLOOKUP('Final Report'!$V40,'Risk &amp; Returns'!$H$27:$P$54,7,FALSE))</f>
        <v/>
      </c>
      <c r="AD40" s="648" t="str">
        <f>IF($V40="","",VLOOKUP('Final Report'!$V40,'Risk &amp; Returns'!$H$27:$P$54,8,FALSE))</f>
        <v/>
      </c>
    </row>
    <row r="41" spans="1:30" ht="16" x14ac:dyDescent="0.2">
      <c r="A41" s="13"/>
      <c r="B41" s="13"/>
      <c r="C41" s="619"/>
      <c r="D41" s="619"/>
      <c r="E41" s="619"/>
      <c r="F41" s="619"/>
      <c r="G41" s="619"/>
      <c r="H41" s="619"/>
      <c r="I41" s="619"/>
      <c r="J41" s="619"/>
      <c r="K41" s="619"/>
      <c r="L41" s="628"/>
      <c r="M41" s="628"/>
      <c r="N41" s="628"/>
      <c r="O41" s="628"/>
      <c r="P41" s="628"/>
      <c r="Q41" s="628"/>
      <c r="R41" s="628"/>
      <c r="S41" s="628"/>
      <c r="T41" s="628"/>
      <c r="U41" s="663"/>
      <c r="V41" s="664" t="str">
        <f>IF('Price Inputs'!C38="","",'Price Inputs'!C38)</f>
        <v/>
      </c>
      <c r="W41" s="664" t="str">
        <f>IF('Price Inputs'!D38="","",'Price Inputs'!D38)</f>
        <v/>
      </c>
      <c r="X41" s="664" t="str">
        <f>IF(V41="","",VLOOKUP(V41,'ETF List'!$C$3:$J$90,4,FALSE))</f>
        <v/>
      </c>
      <c r="Y41" s="665" t="str">
        <f>IF(V41="","",HLOOKUP(V41,Calculations!$C$61:$AG$68,8,FALSE))</f>
        <v/>
      </c>
      <c r="Z41" s="652" t="str">
        <f>IF($V41="","",VLOOKUP('Final Report'!$V41,'Risk &amp; Returns'!$H$27:$M$54,3,FALSE))</f>
        <v/>
      </c>
      <c r="AA41" s="648" t="str">
        <f>IF($V41="","",VLOOKUP('Final Report'!$V41,'Risk &amp; Returns'!$H$27:$M$54,4,FALSE))</f>
        <v/>
      </c>
      <c r="AB41" s="653" t="str">
        <f>IF($V41="","",VLOOKUP('Final Report'!$V41,'Risk &amp; Returns'!$H$27:$M$54,6,FALSE))</f>
        <v/>
      </c>
      <c r="AC41" s="652" t="str">
        <f>IF($V41="","",VLOOKUP('Final Report'!$V41,'Risk &amp; Returns'!$H$27:$P$54,7,FALSE))</f>
        <v/>
      </c>
      <c r="AD41" s="648" t="str">
        <f>IF($V41="","",VLOOKUP('Final Report'!$V41,'Risk &amp; Returns'!$H$27:$P$54,8,FALSE))</f>
        <v/>
      </c>
    </row>
    <row r="42" spans="1:30" ht="16" x14ac:dyDescent="0.2">
      <c r="A42" s="13"/>
      <c r="B42" s="13"/>
      <c r="C42" s="619"/>
      <c r="D42" s="619"/>
      <c r="E42" s="619"/>
      <c r="F42" s="619"/>
      <c r="G42" s="619"/>
      <c r="H42" s="619"/>
      <c r="I42" s="619"/>
      <c r="J42" s="619"/>
      <c r="K42" s="619"/>
      <c r="L42" s="628"/>
      <c r="M42" s="628"/>
      <c r="N42" s="628"/>
      <c r="O42" s="628"/>
      <c r="P42" s="628"/>
      <c r="Q42" s="628"/>
      <c r="R42" s="628"/>
      <c r="S42" s="628"/>
      <c r="T42" s="628"/>
      <c r="U42" s="663"/>
      <c r="V42" s="664" t="str">
        <f>IF('Price Inputs'!C39="","",'Price Inputs'!C39)</f>
        <v/>
      </c>
      <c r="W42" s="664" t="str">
        <f>IF('Price Inputs'!D39="","",'Price Inputs'!D39)</f>
        <v/>
      </c>
      <c r="X42" s="664" t="str">
        <f>IF(V42="","",VLOOKUP(V42,'ETF List'!$C$3:$J$90,4,FALSE))</f>
        <v/>
      </c>
      <c r="Y42" s="665" t="str">
        <f>IF(V42="","",HLOOKUP(V42,Calculations!$C$61:$AG$68,8,FALSE))</f>
        <v/>
      </c>
      <c r="Z42" s="652" t="str">
        <f>IF($V42="","",VLOOKUP('Final Report'!$V42,'Risk &amp; Returns'!$H$27:$M$54,3,FALSE))</f>
        <v/>
      </c>
      <c r="AA42" s="648" t="str">
        <f>IF($V42="","",VLOOKUP('Final Report'!$V42,'Risk &amp; Returns'!$H$27:$M$54,4,FALSE))</f>
        <v/>
      </c>
      <c r="AB42" s="653" t="str">
        <f>IF($V42="","",VLOOKUP('Final Report'!$V42,'Risk &amp; Returns'!$H$27:$M$54,6,FALSE))</f>
        <v/>
      </c>
      <c r="AC42" s="652" t="str">
        <f>IF($V42="","",VLOOKUP('Final Report'!$V42,'Risk &amp; Returns'!$H$27:$P$54,7,FALSE))</f>
        <v/>
      </c>
      <c r="AD42" s="648" t="str">
        <f>IF($V42="","",VLOOKUP('Final Report'!$V42,'Risk &amp; Returns'!$H$27:$P$54,8,FALSE))</f>
        <v/>
      </c>
    </row>
    <row r="43" spans="1:30" ht="16" x14ac:dyDescent="0.2">
      <c r="A43" s="13"/>
      <c r="B43" s="13"/>
      <c r="C43" s="619"/>
      <c r="D43" s="619"/>
      <c r="E43" s="619"/>
      <c r="F43" s="619"/>
      <c r="G43" s="619"/>
      <c r="H43" s="619"/>
      <c r="I43" s="619"/>
      <c r="J43" s="619"/>
      <c r="K43" s="619"/>
      <c r="L43" s="628"/>
      <c r="M43" s="628"/>
      <c r="N43" s="628"/>
      <c r="O43" s="628"/>
      <c r="P43" s="628"/>
      <c r="Q43" s="628"/>
      <c r="R43" s="628"/>
      <c r="S43" s="628"/>
      <c r="T43" s="628"/>
      <c r="U43" s="663"/>
      <c r="V43" s="664" t="str">
        <f>IF('Price Inputs'!C40="","",'Price Inputs'!C40)</f>
        <v/>
      </c>
      <c r="W43" s="664" t="str">
        <f>IF('Price Inputs'!D40="","",'Price Inputs'!D40)</f>
        <v/>
      </c>
      <c r="X43" s="664" t="str">
        <f>IF(V43="","",VLOOKUP(V43,'ETF List'!$C$3:$J$90,4,FALSE))</f>
        <v/>
      </c>
      <c r="Y43" s="665" t="str">
        <f>IF(V43="","",HLOOKUP(V43,Calculations!$C$61:$AG$68,8,FALSE))</f>
        <v/>
      </c>
      <c r="Z43" s="652" t="str">
        <f>IF($V43="","",VLOOKUP('Final Report'!$V43,'Risk &amp; Returns'!$H$27:$M$54,3,FALSE))</f>
        <v/>
      </c>
      <c r="AA43" s="648" t="str">
        <f>IF($V43="","",VLOOKUP('Final Report'!$V43,'Risk &amp; Returns'!$H$27:$M$54,4,FALSE))</f>
        <v/>
      </c>
      <c r="AB43" s="653" t="str">
        <f>IF($V43="","",VLOOKUP('Final Report'!$V43,'Risk &amp; Returns'!$H$27:$M$54,6,FALSE))</f>
        <v/>
      </c>
      <c r="AC43" s="652" t="str">
        <f>IF($V43="","",VLOOKUP('Final Report'!$V43,'Risk &amp; Returns'!$H$27:$P$54,7,FALSE))</f>
        <v/>
      </c>
      <c r="AD43" s="648" t="str">
        <f>IF($V43="","",VLOOKUP('Final Report'!$V43,'Risk &amp; Returns'!$H$27:$P$54,8,FALSE))</f>
        <v/>
      </c>
    </row>
    <row r="44" spans="1:30" ht="16" x14ac:dyDescent="0.2">
      <c r="A44" s="13"/>
      <c r="B44" s="13"/>
      <c r="C44" s="619"/>
      <c r="D44" s="619"/>
      <c r="E44" s="619"/>
      <c r="F44" s="619"/>
      <c r="G44" s="619"/>
      <c r="H44" s="619"/>
      <c r="I44" s="619"/>
      <c r="J44" s="619"/>
      <c r="K44" s="619"/>
      <c r="L44" s="628"/>
      <c r="M44" s="628"/>
      <c r="N44" s="628"/>
      <c r="O44" s="628"/>
      <c r="P44" s="628"/>
      <c r="Q44" s="628"/>
      <c r="R44" s="628"/>
      <c r="S44" s="628"/>
      <c r="T44" s="628"/>
      <c r="U44" s="663"/>
      <c r="V44" s="664" t="str">
        <f>IF('Price Inputs'!C41="","",'Price Inputs'!C41)</f>
        <v/>
      </c>
      <c r="W44" s="664" t="str">
        <f>IF('Price Inputs'!D41="","",'Price Inputs'!D41)</f>
        <v/>
      </c>
      <c r="X44" s="664" t="str">
        <f>IF(V44="","",VLOOKUP(V44,'ETF List'!$C$3:$J$90,4,FALSE))</f>
        <v/>
      </c>
      <c r="Y44" s="665" t="str">
        <f>IF(V44="","",HLOOKUP(V44,Calculations!$C$61:$AG$68,8,FALSE))</f>
        <v/>
      </c>
      <c r="Z44" s="652" t="str">
        <f>IF($V44="","",VLOOKUP('Final Report'!$V44,'Risk &amp; Returns'!$H$27:$M$54,3,FALSE))</f>
        <v/>
      </c>
      <c r="AA44" s="648" t="str">
        <f>IF($V44="","",VLOOKUP('Final Report'!$V44,'Risk &amp; Returns'!$H$27:$M$54,4,FALSE))</f>
        <v/>
      </c>
      <c r="AB44" s="653" t="str">
        <f>IF($V44="","",VLOOKUP('Final Report'!$V44,'Risk &amp; Returns'!$H$27:$M$54,6,FALSE))</f>
        <v/>
      </c>
      <c r="AC44" s="652" t="str">
        <f>IF($V44="","",VLOOKUP('Final Report'!$V44,'Risk &amp; Returns'!$H$27:$P$54,7,FALSE))</f>
        <v/>
      </c>
      <c r="AD44" s="648" t="str">
        <f>IF($V44="","",VLOOKUP('Final Report'!$V44,'Risk &amp; Returns'!$H$27:$P$54,8,FALSE))</f>
        <v/>
      </c>
    </row>
    <row r="45" spans="1:30" ht="16" x14ac:dyDescent="0.2">
      <c r="A45" s="13"/>
      <c r="B45" s="13"/>
      <c r="C45" s="619"/>
      <c r="D45" s="619"/>
      <c r="E45" s="619"/>
      <c r="F45" s="619"/>
      <c r="G45" s="619"/>
      <c r="H45" s="619"/>
      <c r="I45" s="619"/>
      <c r="J45" s="619"/>
      <c r="K45" s="619"/>
      <c r="L45" s="628"/>
      <c r="M45" s="628"/>
      <c r="N45" s="628"/>
      <c r="O45" s="628"/>
      <c r="P45" s="628"/>
      <c r="Q45" s="628"/>
      <c r="R45" s="628"/>
      <c r="S45" s="628"/>
      <c r="T45" s="628"/>
      <c r="U45" s="663"/>
      <c r="V45" s="664" t="str">
        <f>IF('Price Inputs'!C42="","",'Price Inputs'!C42)</f>
        <v/>
      </c>
      <c r="W45" s="664" t="str">
        <f>IF('Price Inputs'!D42="","",'Price Inputs'!D42)</f>
        <v/>
      </c>
      <c r="X45" s="664" t="str">
        <f>IF(V45="","",VLOOKUP(V45,'ETF List'!$C$3:$J$90,4,FALSE))</f>
        <v/>
      </c>
      <c r="Y45" s="665" t="str">
        <f>IF(V45="","",HLOOKUP(V45,Calculations!$C$61:$AG$68,8,FALSE))</f>
        <v/>
      </c>
      <c r="Z45" s="652" t="str">
        <f>IF($V45="","",VLOOKUP('Final Report'!$V45,'Risk &amp; Returns'!$H$27:$M$54,3,FALSE))</f>
        <v/>
      </c>
      <c r="AA45" s="648" t="str">
        <f>IF($V45="","",VLOOKUP('Final Report'!$V45,'Risk &amp; Returns'!$H$27:$M$54,4,FALSE))</f>
        <v/>
      </c>
      <c r="AB45" s="653" t="str">
        <f>IF($V45="","",VLOOKUP('Final Report'!$V45,'Risk &amp; Returns'!$H$27:$M$54,6,FALSE))</f>
        <v/>
      </c>
      <c r="AC45" s="652" t="str">
        <f>IF($V45="","",VLOOKUP('Final Report'!$V45,'Risk &amp; Returns'!$H$27:$P$54,7,FALSE))</f>
        <v/>
      </c>
      <c r="AD45" s="648" t="str">
        <f>IF($V45="","",VLOOKUP('Final Report'!$V45,'Risk &amp; Returns'!$H$27:$P$54,8,FALSE))</f>
        <v/>
      </c>
    </row>
    <row r="46" spans="1:30" ht="16" x14ac:dyDescent="0.2">
      <c r="A46" s="13"/>
      <c r="B46" s="13"/>
      <c r="C46" s="619"/>
      <c r="D46" s="619"/>
      <c r="E46" s="619"/>
      <c r="F46" s="619"/>
      <c r="G46" s="619"/>
      <c r="H46" s="619"/>
      <c r="I46" s="619"/>
      <c r="J46" s="619"/>
      <c r="K46" s="619"/>
      <c r="L46" s="628"/>
      <c r="M46" s="628"/>
      <c r="N46" s="628"/>
      <c r="O46" s="628"/>
      <c r="P46" s="628"/>
      <c r="Q46" s="628"/>
      <c r="R46" s="628"/>
      <c r="S46" s="628"/>
      <c r="T46" s="628"/>
      <c r="U46" s="663"/>
      <c r="V46" s="664" t="str">
        <f>IF('Price Inputs'!C43="","",'Price Inputs'!C43)</f>
        <v/>
      </c>
      <c r="W46" s="664" t="str">
        <f>IF('Price Inputs'!D43="","",'Price Inputs'!D43)</f>
        <v/>
      </c>
      <c r="X46" s="664" t="str">
        <f>IF(V46="","",VLOOKUP(V46,'ETF List'!$C$3:$J$90,4,FALSE))</f>
        <v/>
      </c>
      <c r="Y46" s="665" t="str">
        <f>IF(V46="","",HLOOKUP(V46,Calculations!$C$61:$AG$68,8,FALSE))</f>
        <v/>
      </c>
      <c r="Z46" s="652" t="str">
        <f>IF($V46="","",VLOOKUP('Final Report'!$V46,'Risk &amp; Returns'!$H$27:$M$54,3,FALSE))</f>
        <v/>
      </c>
      <c r="AA46" s="648" t="str">
        <f>IF($V46="","",VLOOKUP('Final Report'!$V46,'Risk &amp; Returns'!$H$27:$M$54,4,FALSE))</f>
        <v/>
      </c>
      <c r="AB46" s="653" t="str">
        <f>IF($V46="","",VLOOKUP('Final Report'!$V46,'Risk &amp; Returns'!$H$27:$M$54,6,FALSE))</f>
        <v/>
      </c>
      <c r="AC46" s="652" t="str">
        <f>IF($V46="","",VLOOKUP('Final Report'!$V46,'Risk &amp; Returns'!$H$27:$P$54,7,FALSE))</f>
        <v/>
      </c>
      <c r="AD46" s="648" t="str">
        <f>IF($V46="","",VLOOKUP('Final Report'!$V46,'Risk &amp; Returns'!$H$27:$P$54,8,FALSE))</f>
        <v/>
      </c>
    </row>
    <row r="47" spans="1:30" ht="16.5" customHeight="1" x14ac:dyDescent="0.2">
      <c r="A47" s="13"/>
      <c r="B47" s="13"/>
      <c r="C47" s="619"/>
      <c r="D47" s="619"/>
      <c r="E47" s="619"/>
      <c r="F47" s="619"/>
      <c r="G47" s="619"/>
      <c r="H47" s="619"/>
      <c r="I47" s="619"/>
      <c r="J47" s="619"/>
      <c r="K47" s="619"/>
      <c r="L47" s="628"/>
      <c r="M47" s="628"/>
      <c r="N47" s="628"/>
      <c r="O47" s="628"/>
      <c r="P47" s="628"/>
      <c r="Q47" s="628"/>
      <c r="R47" s="628"/>
      <c r="S47" s="628"/>
      <c r="T47" s="628"/>
      <c r="U47" s="663"/>
      <c r="V47" s="664" t="str">
        <f>IF('Price Inputs'!C44="","",'Price Inputs'!C44)</f>
        <v/>
      </c>
      <c r="W47" s="664" t="str">
        <f>IF('Price Inputs'!D44="","",'Price Inputs'!D44)</f>
        <v/>
      </c>
      <c r="X47" s="664" t="str">
        <f>IF(V47="","",VLOOKUP(V47,'ETF List'!$C$3:$J$90,4,FALSE))</f>
        <v/>
      </c>
      <c r="Y47" s="665" t="str">
        <f>IF(V47="","",HLOOKUP(V47,Calculations!$C$61:$AG$68,8,FALSE))</f>
        <v/>
      </c>
      <c r="Z47" s="652" t="str">
        <f>IF($V47="","",VLOOKUP('Final Report'!$V47,'Risk &amp; Returns'!$H$27:$M$54,3,FALSE))</f>
        <v/>
      </c>
      <c r="AA47" s="648" t="str">
        <f>IF($V47="","",VLOOKUP('Final Report'!$V47,'Risk &amp; Returns'!$H$27:$M$54,4,FALSE))</f>
        <v/>
      </c>
      <c r="AB47" s="653" t="str">
        <f>IF($V47="","",VLOOKUP('Final Report'!$V47,'Risk &amp; Returns'!$H$27:$M$54,6,FALSE))</f>
        <v/>
      </c>
      <c r="AC47" s="652" t="str">
        <f>IF($V47="","",VLOOKUP('Final Report'!$V47,'Risk &amp; Returns'!$H$27:$P$54,7,FALSE))</f>
        <v/>
      </c>
      <c r="AD47" s="648" t="str">
        <f>IF($V47="","",VLOOKUP('Final Report'!$V47,'Risk &amp; Returns'!$H$27:$P$54,8,FALSE))</f>
        <v/>
      </c>
    </row>
    <row r="48" spans="1:30" ht="16" x14ac:dyDescent="0.2">
      <c r="C48" s="632"/>
      <c r="D48" s="633"/>
      <c r="E48" s="633"/>
      <c r="F48" s="633"/>
      <c r="G48" s="633"/>
      <c r="H48" s="633"/>
      <c r="I48" s="621"/>
      <c r="J48" s="633"/>
      <c r="K48" s="619"/>
      <c r="L48" s="634"/>
      <c r="M48" s="635"/>
      <c r="N48" s="635"/>
      <c r="O48" s="635"/>
      <c r="P48" s="635"/>
      <c r="Q48" s="635"/>
      <c r="R48" s="635"/>
      <c r="S48" s="635"/>
      <c r="T48" s="635"/>
      <c r="U48" s="663"/>
      <c r="V48" s="664" t="str">
        <f>IF('Price Inputs'!C40="","",'Price Inputs'!C40)</f>
        <v/>
      </c>
      <c r="W48" s="664" t="str">
        <f>IF('Price Inputs'!D40="","",'Price Inputs'!D40)</f>
        <v/>
      </c>
      <c r="X48" s="664" t="str">
        <f>IF(V48="","",VLOOKUP(V48,'ETF List'!$C$3:$J$90,4,FALSE))</f>
        <v/>
      </c>
      <c r="Y48" s="665" t="str">
        <f>IF(V48="","",HLOOKUP(V48,Calculations!$C$61:$AG$68,8,FALSE))</f>
        <v/>
      </c>
      <c r="Z48" s="652" t="str">
        <f>IF($V48="","",VLOOKUP('Final Report'!$V48,'Risk &amp; Returns'!$H$27:$M$54,3,FALSE))</f>
        <v/>
      </c>
      <c r="AA48" s="648" t="str">
        <f>IF($V48="","",VLOOKUP('Final Report'!$V48,'Risk &amp; Returns'!$H$27:$M$54,4,FALSE))</f>
        <v/>
      </c>
      <c r="AB48" s="653" t="str">
        <f>IF($V48="","",VLOOKUP('Final Report'!$V48,'Risk &amp; Returns'!$H$27:$M$54,6,FALSE))</f>
        <v/>
      </c>
      <c r="AC48" s="652" t="str">
        <f>IF($V48="","",VLOOKUP('Final Report'!$V48,'Risk &amp; Returns'!$H$27:$P$54,7,FALSE))</f>
        <v/>
      </c>
      <c r="AD48" s="648" t="str">
        <f>IF($V48="","",VLOOKUP('Final Report'!$V48,'Risk &amp; Returns'!$H$27:$P$54,8,FALSE))</f>
        <v/>
      </c>
    </row>
    <row r="49" spans="3:31" ht="16" x14ac:dyDescent="0.2">
      <c r="C49" s="632"/>
      <c r="D49" s="633"/>
      <c r="E49" s="633"/>
      <c r="F49" s="633"/>
      <c r="G49" s="633"/>
      <c r="H49" s="633"/>
      <c r="I49" s="621"/>
      <c r="J49" s="633"/>
      <c r="K49" s="619"/>
      <c r="L49" s="634"/>
      <c r="M49" s="635"/>
      <c r="N49" s="635"/>
      <c r="O49" s="635"/>
      <c r="P49" s="635"/>
      <c r="Q49" s="635"/>
      <c r="R49" s="635"/>
      <c r="S49" s="635"/>
      <c r="T49" s="635"/>
      <c r="U49" s="663"/>
      <c r="V49" s="664" t="str">
        <f>IF('Price Inputs'!C41="","",'Price Inputs'!C41)</f>
        <v/>
      </c>
      <c r="W49" s="664" t="str">
        <f>IF('Price Inputs'!D41="","",'Price Inputs'!D41)</f>
        <v/>
      </c>
      <c r="X49" s="664" t="str">
        <f>IF(V49="","",VLOOKUP(V49,'ETF List'!$C$3:$J$90,4,FALSE))</f>
        <v/>
      </c>
      <c r="Y49" s="665" t="str">
        <f>IF(V49="","",HLOOKUP(V49,Calculations!$C$61:$AG$68,8,FALSE))</f>
        <v/>
      </c>
      <c r="Z49" s="652" t="str">
        <f>IF($V49="","",VLOOKUP('Final Report'!$V49,'Risk &amp; Returns'!$H$27:$M$54,3,FALSE))</f>
        <v/>
      </c>
      <c r="AA49" s="648" t="str">
        <f>IF($V49="","",VLOOKUP('Final Report'!$V49,'Risk &amp; Returns'!$H$27:$M$54,4,FALSE))</f>
        <v/>
      </c>
      <c r="AB49" s="653" t="str">
        <f>IF($V49="","",VLOOKUP('Final Report'!$V49,'Risk &amp; Returns'!$H$27:$M$54,6,FALSE))</f>
        <v/>
      </c>
      <c r="AC49" s="652" t="str">
        <f>IF($V49="","",VLOOKUP('Final Report'!$V49,'Risk &amp; Returns'!$H$27:$P$54,7,FALSE))</f>
        <v/>
      </c>
      <c r="AD49" s="648" t="str">
        <f>IF($V49="","",VLOOKUP('Final Report'!$V49,'Risk &amp; Returns'!$H$27:$P$54,8,FALSE))</f>
        <v/>
      </c>
    </row>
    <row r="50" spans="3:31" ht="16" x14ac:dyDescent="0.2">
      <c r="C50" s="632"/>
      <c r="D50" s="633"/>
      <c r="E50" s="633"/>
      <c r="F50" s="633"/>
      <c r="G50" s="633"/>
      <c r="H50" s="633"/>
      <c r="I50" s="621"/>
      <c r="J50" s="633"/>
      <c r="K50" s="619"/>
      <c r="L50" s="634"/>
      <c r="M50" s="635"/>
      <c r="N50" s="635"/>
      <c r="O50" s="635"/>
      <c r="P50" s="635"/>
      <c r="Q50" s="635"/>
      <c r="R50" s="635"/>
      <c r="S50" s="635"/>
      <c r="T50" s="635"/>
      <c r="U50" s="663"/>
      <c r="V50" s="664" t="str">
        <f>IF('Price Inputs'!C42="","",'Price Inputs'!C42)</f>
        <v/>
      </c>
      <c r="W50" s="664" t="str">
        <f>IF('Price Inputs'!D42="","",'Price Inputs'!D42)</f>
        <v/>
      </c>
      <c r="X50" s="664" t="str">
        <f>IF(V50="","",VLOOKUP(V50,'ETF List'!$C$3:$J$90,4,FALSE))</f>
        <v/>
      </c>
      <c r="Y50" s="665" t="str">
        <f>IF(V50="","",HLOOKUP(V50,Calculations!$C$61:$AG$68,8,FALSE))</f>
        <v/>
      </c>
      <c r="Z50" s="652" t="str">
        <f>IF($V50="","",VLOOKUP('Final Report'!$V50,'Risk &amp; Returns'!$H$27:$M$54,3,FALSE))</f>
        <v/>
      </c>
      <c r="AA50" s="648" t="str">
        <f>IF($V50="","",VLOOKUP('Final Report'!$V50,'Risk &amp; Returns'!$H$27:$M$54,4,FALSE))</f>
        <v/>
      </c>
      <c r="AB50" s="653" t="str">
        <f>IF($V50="","",VLOOKUP('Final Report'!$V50,'Risk &amp; Returns'!$H$27:$M$54,6,FALSE))</f>
        <v/>
      </c>
      <c r="AC50" s="656" t="str">
        <f>IF($V50="","",VLOOKUP('Final Report'!$V50,'Risk &amp; Returns'!$H$27:$P$54,7,FALSE))</f>
        <v/>
      </c>
      <c r="AD50" s="648" t="str">
        <f>IF($V50="","",VLOOKUP('Final Report'!$V50,'Risk &amp; Returns'!$H$27:$P$54,8,FALSE))</f>
        <v/>
      </c>
    </row>
    <row r="51" spans="3:31" ht="16" x14ac:dyDescent="0.2">
      <c r="C51" s="632"/>
      <c r="D51" s="633"/>
      <c r="E51" s="633"/>
      <c r="F51" s="633"/>
      <c r="G51" s="633"/>
      <c r="H51" s="633"/>
      <c r="I51" s="621"/>
      <c r="J51" s="633"/>
      <c r="K51" s="619"/>
      <c r="L51" s="634"/>
      <c r="M51" s="635"/>
      <c r="N51" s="635"/>
      <c r="O51" s="635"/>
      <c r="P51" s="635"/>
      <c r="Q51" s="635"/>
      <c r="R51" s="635"/>
      <c r="S51" s="635"/>
      <c r="T51" s="635"/>
      <c r="U51" s="684"/>
      <c r="V51" s="685"/>
      <c r="W51" s="685"/>
      <c r="X51" s="685"/>
      <c r="Y51" s="686">
        <f>SUM(Y23:Y50)</f>
        <v>0.12973726210516834</v>
      </c>
      <c r="Z51" s="687" t="s">
        <v>461</v>
      </c>
      <c r="AA51" s="688"/>
      <c r="AB51" s="688"/>
      <c r="AC51" s="688"/>
      <c r="AD51" s="689"/>
    </row>
    <row r="52" spans="3:31" ht="23" x14ac:dyDescent="0.2">
      <c r="C52" s="17" t="s">
        <v>227</v>
      </c>
      <c r="D52" s="16"/>
      <c r="E52" s="16"/>
      <c r="F52" s="16"/>
      <c r="G52" s="16"/>
      <c r="H52" s="16"/>
      <c r="I52" s="16"/>
      <c r="J52" s="16"/>
      <c r="K52" s="16"/>
      <c r="L52" s="17" t="s">
        <v>227</v>
      </c>
      <c r="M52" s="16"/>
      <c r="N52" s="16"/>
      <c r="O52" s="16"/>
      <c r="P52" s="16"/>
      <c r="Q52" s="16"/>
      <c r="R52" s="16"/>
      <c r="S52" s="16"/>
      <c r="T52" s="16"/>
      <c r="U52" s="690" t="s">
        <v>227</v>
      </c>
      <c r="V52" s="691"/>
      <c r="W52" s="691"/>
      <c r="X52" s="691"/>
      <c r="Y52" s="691"/>
      <c r="Z52" s="691"/>
      <c r="AA52" s="691"/>
      <c r="AB52" s="691"/>
      <c r="AC52" s="691"/>
      <c r="AD52" s="691"/>
      <c r="AE52" s="16"/>
    </row>
    <row r="53" spans="3:31" x14ac:dyDescent="0.2">
      <c r="C53" s="13"/>
      <c r="D53" s="13"/>
      <c r="E53" s="13"/>
      <c r="F53" s="13"/>
      <c r="G53" s="13"/>
      <c r="H53" s="13"/>
      <c r="I53" s="13"/>
      <c r="J53" s="13"/>
      <c r="K53" s="13"/>
    </row>
    <row r="54" spans="3:31" x14ac:dyDescent="0.2">
      <c r="C54" s="13"/>
      <c r="D54" s="13"/>
      <c r="E54" s="13"/>
      <c r="F54" s="13"/>
      <c r="G54" s="13"/>
      <c r="H54" s="13"/>
      <c r="I54" s="13"/>
      <c r="J54" s="13"/>
      <c r="K54" s="13"/>
      <c r="L54" s="13"/>
    </row>
    <row r="55" spans="3:31" x14ac:dyDescent="0.2">
      <c r="F55" s="12"/>
      <c r="G55" s="12"/>
      <c r="H55" s="12"/>
      <c r="I55" s="12"/>
      <c r="J55" s="13"/>
      <c r="K55" s="13"/>
      <c r="L55" s="13"/>
    </row>
    <row r="56" spans="3:31" x14ac:dyDescent="0.2">
      <c r="F56" s="12"/>
      <c r="H56" s="12"/>
      <c r="I56" s="12"/>
      <c r="L56" s="13"/>
    </row>
    <row r="57" spans="3:31" ht="29" x14ac:dyDescent="0.35">
      <c r="F57" s="12"/>
      <c r="H57" s="12"/>
      <c r="I57" s="11"/>
      <c r="L57" s="13"/>
    </row>
    <row r="58" spans="3:31" x14ac:dyDescent="0.2">
      <c r="F58" s="14"/>
      <c r="H58" s="12"/>
      <c r="I58" s="12"/>
      <c r="L58" s="13"/>
    </row>
    <row r="59" spans="3:31" x14ac:dyDescent="0.2">
      <c r="F59" s="14"/>
      <c r="H59" s="12"/>
      <c r="I59" s="12"/>
      <c r="L59" s="13"/>
    </row>
    <row r="60" spans="3:31" x14ac:dyDescent="0.2">
      <c r="C60" s="22"/>
      <c r="D60" s="12"/>
      <c r="E60" s="12"/>
      <c r="F60" s="12"/>
      <c r="H60" s="12"/>
      <c r="I60" s="12"/>
    </row>
    <row r="63" spans="3:31" x14ac:dyDescent="0.2">
      <c r="K63" s="13"/>
    </row>
    <row r="64" spans="3:31" x14ac:dyDescent="0.2">
      <c r="C64" s="234" t="s">
        <v>372</v>
      </c>
      <c r="K64" s="13"/>
    </row>
    <row r="65" spans="3:11" x14ac:dyDescent="0.2">
      <c r="C65" s="124" t="s">
        <v>367</v>
      </c>
      <c r="K65" s="13"/>
    </row>
    <row r="66" spans="3:11" x14ac:dyDescent="0.2">
      <c r="C66" s="124" t="s">
        <v>368</v>
      </c>
      <c r="K66" s="13"/>
    </row>
    <row r="67" spans="3:11" x14ac:dyDescent="0.2">
      <c r="C67" s="124" t="s">
        <v>369</v>
      </c>
      <c r="K67" s="13"/>
    </row>
    <row r="68" spans="3:11" x14ac:dyDescent="0.2">
      <c r="C68" s="124" t="s">
        <v>370</v>
      </c>
      <c r="K68" s="13"/>
    </row>
    <row r="69" spans="3:11" x14ac:dyDescent="0.2">
      <c r="C69" s="124" t="s">
        <v>371</v>
      </c>
    </row>
  </sheetData>
  <sheetProtection sheet="1" scenarios="1" formatColumns="0"/>
  <mergeCells count="15">
    <mergeCell ref="L4:T4"/>
    <mergeCell ref="U6:AD6"/>
    <mergeCell ref="U20:AD20"/>
    <mergeCell ref="C4:K4"/>
    <mergeCell ref="U4:AD4"/>
    <mergeCell ref="C39:F39"/>
    <mergeCell ref="G39:K39"/>
    <mergeCell ref="L38:T38"/>
    <mergeCell ref="L5:T5"/>
    <mergeCell ref="L17:T17"/>
    <mergeCell ref="L21:T21"/>
    <mergeCell ref="C38:K38"/>
    <mergeCell ref="C24:K24"/>
    <mergeCell ref="C17:K17"/>
    <mergeCell ref="C5:K5"/>
  </mergeCells>
  <dataValidations count="1">
    <dataValidation type="list" allowBlank="1" showInputMessage="1" showErrorMessage="1" sqref="E7" xr:uid="{00000000-0002-0000-0100-000000000000}">
      <formula1>$C$65:$C$69</formula1>
    </dataValidation>
  </dataValidations>
  <printOptions horizontalCentered="1"/>
  <pageMargins left="0.25" right="0.25" top="0.25" bottom="0.75" header="0.3" footer="0.3"/>
  <pageSetup scale="90" fitToWidth="0" orientation="portrait" r:id="rId1"/>
  <colBreaks count="3" manualBreakCount="3">
    <brk id="11" min="3" max="44" man="1"/>
    <brk id="20" min="3" max="44" man="1"/>
    <brk id="31" min="3" max="44"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CC"/>
  </sheetPr>
  <dimension ref="A1:AP253"/>
  <sheetViews>
    <sheetView zoomScale="80" zoomScaleNormal="80" workbookViewId="0">
      <selection activeCell="F22" sqref="F22"/>
    </sheetView>
  </sheetViews>
  <sheetFormatPr baseColWidth="10" defaultColWidth="8.83203125" defaultRowHeight="15" x14ac:dyDescent="0.2"/>
  <cols>
    <col min="1" max="1" width="9.1640625" customWidth="1"/>
    <col min="2" max="2" width="0" hidden="1" customWidth="1"/>
    <col min="3" max="3" width="12" hidden="1" customWidth="1"/>
    <col min="4" max="4" width="20" bestFit="1" customWidth="1"/>
    <col min="5" max="5" width="24.6640625" bestFit="1" customWidth="1"/>
    <col min="6" max="6" width="25.5" bestFit="1" customWidth="1"/>
    <col min="7" max="7" width="34.6640625" bestFit="1" customWidth="1"/>
    <col min="8" max="8" width="11.1640625" bestFit="1" customWidth="1"/>
    <col min="9" max="9" width="30.33203125" customWidth="1"/>
    <col min="10" max="10" width="11.1640625" bestFit="1" customWidth="1"/>
    <col min="11" max="11" width="12" bestFit="1" customWidth="1"/>
    <col min="12" max="12" width="12.33203125" bestFit="1" customWidth="1"/>
    <col min="13" max="13" width="18.33203125" customWidth="1"/>
    <col min="14" max="14" width="15.6640625" customWidth="1"/>
    <col min="15" max="17" width="11.1640625" bestFit="1" customWidth="1"/>
    <col min="19" max="19" width="27" bestFit="1" customWidth="1"/>
    <col min="20" max="20" width="33" customWidth="1"/>
    <col min="21" max="21" width="8.33203125" customWidth="1"/>
    <col min="22" max="25" width="31.5" style="1" customWidth="1"/>
    <col min="26" max="26" width="33.5" customWidth="1"/>
    <col min="29" max="29" width="12.33203125" style="607" bestFit="1" customWidth="1"/>
    <col min="30" max="30" width="17.5" style="607" bestFit="1" customWidth="1"/>
    <col min="31" max="31" width="11.5" style="607" customWidth="1"/>
    <col min="32" max="32" width="18.1640625" style="607" bestFit="1" customWidth="1"/>
    <col min="33" max="33" width="19.6640625" style="607" bestFit="1" customWidth="1"/>
    <col min="34" max="34" width="22.33203125" style="607" bestFit="1" customWidth="1"/>
    <col min="35" max="35" width="33" style="607" bestFit="1" customWidth="1"/>
    <col min="36" max="36" width="26.1640625" style="607" bestFit="1" customWidth="1"/>
    <col min="37" max="38" width="8.83203125" style="607"/>
    <col min="39" max="39" width="33" style="607" bestFit="1" customWidth="1"/>
    <col min="40" max="40" width="6.33203125" style="607" bestFit="1" customWidth="1"/>
    <col min="41" max="41" width="31.5" style="607" bestFit="1" customWidth="1"/>
    <col min="42" max="42" width="33.5" style="607" bestFit="1" customWidth="1"/>
  </cols>
  <sheetData>
    <row r="1" spans="1:42" ht="19" x14ac:dyDescent="0.25">
      <c r="A1" s="3" t="s">
        <v>191</v>
      </c>
      <c r="V1"/>
      <c r="W1"/>
      <c r="X1"/>
      <c r="Y1"/>
      <c r="AC1" s="606" t="s">
        <v>305</v>
      </c>
      <c r="AF1" s="606" t="s">
        <v>149</v>
      </c>
      <c r="AG1" s="606" t="s">
        <v>301</v>
      </c>
      <c r="AH1" s="606" t="s">
        <v>302</v>
      </c>
      <c r="AI1" s="606" t="s">
        <v>303</v>
      </c>
      <c r="AJ1" s="606" t="s">
        <v>304</v>
      </c>
      <c r="AM1" s="607" t="s">
        <v>32</v>
      </c>
      <c r="AN1" s="607" t="s">
        <v>0</v>
      </c>
      <c r="AO1" s="337" t="s">
        <v>1</v>
      </c>
      <c r="AP1" s="607" t="s">
        <v>312</v>
      </c>
    </row>
    <row r="2" spans="1:42" x14ac:dyDescent="0.2">
      <c r="P2" s="5"/>
      <c r="Q2" s="5"/>
      <c r="R2" s="5"/>
      <c r="S2" s="5"/>
      <c r="T2" s="5"/>
      <c r="U2" s="5"/>
      <c r="V2" s="5"/>
      <c r="W2" s="5"/>
      <c r="X2" s="5"/>
      <c r="Y2" s="5"/>
      <c r="Z2" s="5"/>
      <c r="AA2" s="5"/>
      <c r="AB2" s="5"/>
      <c r="AG2" s="607" t="s">
        <v>192</v>
      </c>
      <c r="AH2" s="607" t="s">
        <v>197</v>
      </c>
      <c r="AI2" s="607" t="s">
        <v>204</v>
      </c>
      <c r="AJ2" s="607" t="s">
        <v>169</v>
      </c>
      <c r="AM2" s="607" t="s">
        <v>192</v>
      </c>
      <c r="AN2" s="337" t="s">
        <v>52</v>
      </c>
      <c r="AO2" s="605" t="s">
        <v>237</v>
      </c>
      <c r="AP2" s="337" t="s">
        <v>112</v>
      </c>
    </row>
    <row r="3" spans="1:42" x14ac:dyDescent="0.2">
      <c r="V3"/>
      <c r="W3"/>
      <c r="X3"/>
      <c r="Y3"/>
      <c r="AC3" s="607" t="s">
        <v>149</v>
      </c>
      <c r="AD3" s="607" t="s">
        <v>149</v>
      </c>
      <c r="AG3" s="607" t="s">
        <v>113</v>
      </c>
      <c r="AH3" s="607" t="s">
        <v>198</v>
      </c>
      <c r="AI3" s="607" t="s">
        <v>205</v>
      </c>
      <c r="AJ3" s="607" t="s">
        <v>213</v>
      </c>
      <c r="AM3" s="607" t="s">
        <v>113</v>
      </c>
      <c r="AN3" s="337" t="s">
        <v>79</v>
      </c>
      <c r="AO3" s="605" t="s">
        <v>239</v>
      </c>
      <c r="AP3" s="337" t="s">
        <v>175</v>
      </c>
    </row>
    <row r="4" spans="1:42" x14ac:dyDescent="0.2">
      <c r="AC4" s="607" t="s">
        <v>313</v>
      </c>
      <c r="AD4" s="607" t="s">
        <v>301</v>
      </c>
      <c r="AG4" s="607" t="s">
        <v>193</v>
      </c>
      <c r="AH4" s="607" t="s">
        <v>199</v>
      </c>
      <c r="AI4" s="607" t="s">
        <v>206</v>
      </c>
      <c r="AJ4" s="607" t="s">
        <v>34</v>
      </c>
      <c r="AM4" s="607" t="s">
        <v>193</v>
      </c>
      <c r="AN4" s="337" t="s">
        <v>77</v>
      </c>
      <c r="AO4" s="605" t="s">
        <v>128</v>
      </c>
      <c r="AP4" s="337" t="s">
        <v>176</v>
      </c>
    </row>
    <row r="5" spans="1:42" x14ac:dyDescent="0.2">
      <c r="AC5" s="607" t="s">
        <v>314</v>
      </c>
      <c r="AD5" s="607" t="s">
        <v>350</v>
      </c>
      <c r="AG5" s="607" t="s">
        <v>194</v>
      </c>
      <c r="AH5" s="607" t="s">
        <v>200</v>
      </c>
      <c r="AI5" s="607" t="s">
        <v>207</v>
      </c>
      <c r="AJ5" s="607" t="s">
        <v>43</v>
      </c>
      <c r="AM5" s="607" t="s">
        <v>194</v>
      </c>
      <c r="AN5" s="337" t="s">
        <v>76</v>
      </c>
      <c r="AO5" s="605" t="s">
        <v>127</v>
      </c>
      <c r="AP5" s="337" t="s">
        <v>174</v>
      </c>
    </row>
    <row r="6" spans="1:42" x14ac:dyDescent="0.2">
      <c r="AC6" s="607" t="s">
        <v>303</v>
      </c>
      <c r="AD6" s="607" t="s">
        <v>303</v>
      </c>
      <c r="AG6" s="607" t="s">
        <v>117</v>
      </c>
      <c r="AH6" s="607" t="s">
        <v>201</v>
      </c>
      <c r="AI6" s="607" t="s">
        <v>208</v>
      </c>
      <c r="AM6" s="607" t="s">
        <v>117</v>
      </c>
      <c r="AN6" s="337" t="s">
        <v>84</v>
      </c>
      <c r="AO6" s="605" t="s">
        <v>242</v>
      </c>
      <c r="AP6" s="337" t="s">
        <v>116</v>
      </c>
    </row>
    <row r="7" spans="1:42" x14ac:dyDescent="0.2">
      <c r="AC7" s="607" t="s">
        <v>341</v>
      </c>
      <c r="AD7" s="607" t="s">
        <v>341</v>
      </c>
      <c r="AG7" s="607" t="s">
        <v>119</v>
      </c>
      <c r="AH7" s="607" t="s">
        <v>202</v>
      </c>
      <c r="AI7" s="607" t="s">
        <v>209</v>
      </c>
      <c r="AM7" s="607" t="s">
        <v>119</v>
      </c>
      <c r="AN7" s="337" t="s">
        <v>89</v>
      </c>
      <c r="AO7" s="605" t="s">
        <v>243</v>
      </c>
      <c r="AP7" s="337" t="s">
        <v>115</v>
      </c>
    </row>
    <row r="8" spans="1:42" x14ac:dyDescent="0.2">
      <c r="AG8" s="607" t="s">
        <v>195</v>
      </c>
      <c r="AH8" s="607" t="s">
        <v>203</v>
      </c>
      <c r="AI8" s="607" t="s">
        <v>210</v>
      </c>
      <c r="AM8" s="607" t="s">
        <v>195</v>
      </c>
      <c r="AN8" s="337" t="s">
        <v>88</v>
      </c>
      <c r="AO8" s="605" t="s">
        <v>276</v>
      </c>
      <c r="AP8" s="337" t="s">
        <v>195</v>
      </c>
    </row>
    <row r="9" spans="1:42" x14ac:dyDescent="0.2">
      <c r="J9" s="6"/>
      <c r="K9" s="6"/>
      <c r="AG9" s="607" t="s">
        <v>196</v>
      </c>
      <c r="AI9" s="607" t="s">
        <v>211</v>
      </c>
      <c r="AM9" s="607" t="s">
        <v>196</v>
      </c>
      <c r="AN9" s="337" t="s">
        <v>87</v>
      </c>
      <c r="AO9" s="605" t="s">
        <v>129</v>
      </c>
      <c r="AP9" s="337" t="s">
        <v>196</v>
      </c>
    </row>
    <row r="10" spans="1:42" x14ac:dyDescent="0.2">
      <c r="J10" s="6"/>
      <c r="AI10" s="607" t="s">
        <v>310</v>
      </c>
      <c r="AM10" s="607" t="s">
        <v>197</v>
      </c>
      <c r="AN10" s="337" t="s">
        <v>68</v>
      </c>
      <c r="AO10" s="607" t="s">
        <v>120</v>
      </c>
      <c r="AP10" s="337" t="s">
        <v>197</v>
      </c>
    </row>
    <row r="11" spans="1:42" x14ac:dyDescent="0.2">
      <c r="J11" s="386"/>
      <c r="AI11" s="607" t="s">
        <v>212</v>
      </c>
      <c r="AM11" s="607" t="s">
        <v>198</v>
      </c>
      <c r="AN11" s="337" t="s">
        <v>69</v>
      </c>
      <c r="AO11" s="605" t="s">
        <v>254</v>
      </c>
      <c r="AP11" s="337" t="s">
        <v>311</v>
      </c>
    </row>
    <row r="12" spans="1:42" x14ac:dyDescent="0.2">
      <c r="AM12" s="607" t="s">
        <v>199</v>
      </c>
      <c r="AN12" s="337" t="s">
        <v>67</v>
      </c>
      <c r="AO12" s="607" t="s">
        <v>324</v>
      </c>
      <c r="AP12" s="337" t="s">
        <v>199</v>
      </c>
    </row>
    <row r="13" spans="1:42" x14ac:dyDescent="0.2">
      <c r="D13" s="379" t="s">
        <v>389</v>
      </c>
      <c r="E13" s="209"/>
      <c r="F13" s="692">
        <v>44263</v>
      </c>
      <c r="AM13" s="607" t="s">
        <v>201</v>
      </c>
      <c r="AN13" s="337" t="s">
        <v>59</v>
      </c>
      <c r="AO13" s="605" t="s">
        <v>253</v>
      </c>
      <c r="AP13" s="337" t="s">
        <v>201</v>
      </c>
    </row>
    <row r="14" spans="1:42" x14ac:dyDescent="0.2">
      <c r="D14" s="380" t="s">
        <v>218</v>
      </c>
      <c r="E14" s="191"/>
      <c r="F14" s="531" t="str">
        <f>'Final Report'!E7</f>
        <v>Moderate</v>
      </c>
      <c r="AM14" s="607" t="s">
        <v>202</v>
      </c>
      <c r="AN14" s="337" t="s">
        <v>48</v>
      </c>
      <c r="AO14" s="605" t="s">
        <v>134</v>
      </c>
      <c r="AP14" s="337" t="s">
        <v>123</v>
      </c>
    </row>
    <row r="15" spans="1:42" x14ac:dyDescent="0.2">
      <c r="D15" s="381" t="s">
        <v>219</v>
      </c>
      <c r="E15" s="193"/>
      <c r="F15" s="382">
        <f>'Final Report'!E8</f>
        <v>0.05</v>
      </c>
      <c r="AM15" s="607" t="s">
        <v>203</v>
      </c>
      <c r="AN15" s="337" t="s">
        <v>57</v>
      </c>
      <c r="AO15" s="605" t="s">
        <v>135</v>
      </c>
      <c r="AP15" s="337" t="s">
        <v>111</v>
      </c>
    </row>
    <row r="16" spans="1:42" x14ac:dyDescent="0.2">
      <c r="AM16" s="607" t="s">
        <v>204</v>
      </c>
      <c r="AN16" s="337" t="s">
        <v>103</v>
      </c>
      <c r="AO16" s="605" t="s">
        <v>137</v>
      </c>
      <c r="AP16" s="337" t="s">
        <v>36</v>
      </c>
    </row>
    <row r="17" spans="1:42" x14ac:dyDescent="0.2">
      <c r="A17" s="237">
        <f>COUNTA(E21:E29)</f>
        <v>3</v>
      </c>
      <c r="AM17" s="607" t="s">
        <v>205</v>
      </c>
      <c r="AN17" s="337" t="s">
        <v>104</v>
      </c>
      <c r="AO17" s="605" t="s">
        <v>136</v>
      </c>
      <c r="AP17" s="337" t="s">
        <v>205</v>
      </c>
    </row>
    <row r="18" spans="1:42" ht="21" x14ac:dyDescent="0.25">
      <c r="D18" s="2" t="s">
        <v>161</v>
      </c>
      <c r="AC18" s="608" t="s">
        <v>378</v>
      </c>
      <c r="AM18" s="607" t="s">
        <v>206</v>
      </c>
      <c r="AN18" s="337" t="s">
        <v>109</v>
      </c>
      <c r="AO18" s="605" t="s">
        <v>309</v>
      </c>
      <c r="AP18" s="337" t="s">
        <v>206</v>
      </c>
    </row>
    <row r="19" spans="1:42" ht="16" thickBot="1" x14ac:dyDescent="0.25">
      <c r="D19" s="146" t="s">
        <v>165</v>
      </c>
      <c r="E19" s="152" t="s">
        <v>32</v>
      </c>
      <c r="F19" s="152" t="s">
        <v>144</v>
      </c>
      <c r="G19" s="152" t="s">
        <v>300</v>
      </c>
      <c r="H19" s="152" t="s">
        <v>299</v>
      </c>
      <c r="I19" s="151" t="s">
        <v>1</v>
      </c>
      <c r="AD19" s="337" t="s">
        <v>321</v>
      </c>
      <c r="AE19" s="337" t="s">
        <v>315</v>
      </c>
      <c r="AF19" s="337" t="s">
        <v>316</v>
      </c>
      <c r="AG19" s="337" t="s">
        <v>317</v>
      </c>
      <c r="AH19" s="337" t="s">
        <v>318</v>
      </c>
      <c r="AI19" s="337" t="s">
        <v>319</v>
      </c>
      <c r="AM19" s="607" t="s">
        <v>207</v>
      </c>
      <c r="AN19" s="337" t="s">
        <v>106</v>
      </c>
      <c r="AO19" s="605" t="s">
        <v>190</v>
      </c>
      <c r="AP19" s="337" t="s">
        <v>207</v>
      </c>
    </row>
    <row r="20" spans="1:42" ht="16" thickBot="1" x14ac:dyDescent="0.25">
      <c r="D20" s="147"/>
      <c r="E20" s="250" t="s">
        <v>149</v>
      </c>
      <c r="F20" s="250" t="s">
        <v>149</v>
      </c>
      <c r="G20" s="532">
        <v>0.01</v>
      </c>
      <c r="H20" s="149"/>
      <c r="I20" s="138"/>
      <c r="AC20" s="607" t="s">
        <v>320</v>
      </c>
      <c r="AD20" s="609">
        <f>SUM(AD21:AD30)</f>
        <v>100</v>
      </c>
      <c r="AE20" s="610">
        <f>SUM(AE21:AE30)</f>
        <v>101.73718240937833</v>
      </c>
      <c r="AF20" s="610">
        <f t="shared" ref="AF20:AI20" si="0">SUM(AF21:AF30)</f>
        <v>101.66514202874595</v>
      </c>
      <c r="AG20" s="610">
        <f t="shared" si="0"/>
        <v>101.51667115456533</v>
      </c>
      <c r="AH20" s="611">
        <f t="shared" si="0"/>
        <v>101.73043433523792</v>
      </c>
      <c r="AI20" s="610">
        <f t="shared" si="0"/>
        <v>103.1935674100389</v>
      </c>
      <c r="AM20" s="607" t="s">
        <v>208</v>
      </c>
      <c r="AN20" s="337" t="s">
        <v>102</v>
      </c>
      <c r="AO20" s="605" t="s">
        <v>275</v>
      </c>
      <c r="AP20" s="337" t="s">
        <v>208</v>
      </c>
    </row>
    <row r="21" spans="1:42" x14ac:dyDescent="0.2">
      <c r="A21" s="237">
        <v>1</v>
      </c>
      <c r="B21" s="237">
        <f t="shared" ref="B21:B29" si="1">IF(G21="","",A21)</f>
        <v>1</v>
      </c>
      <c r="D21" s="147" t="s">
        <v>290</v>
      </c>
      <c r="E21" s="525" t="s">
        <v>303</v>
      </c>
      <c r="F21" s="526" t="s">
        <v>209</v>
      </c>
      <c r="G21" s="527">
        <v>0.3</v>
      </c>
      <c r="H21" s="149" t="str">
        <f t="shared" ref="H21:H29" si="2">IF(F21="","",VLOOKUP(F21,$AM$2:$AP$29,2,FALSE))</f>
        <v>BWX</v>
      </c>
      <c r="I21" s="138" t="str">
        <f>IF(H21="","",VLOOKUP(H21,'ETF List'!$C$3:$E$90,3,FALSE))</f>
        <v>SPDR BBG Barclays Intl Treasury</v>
      </c>
      <c r="AC21" s="607" t="str">
        <f t="shared" ref="AC21:AC30" si="3">IF(F20="","",F20)</f>
        <v>Cash</v>
      </c>
      <c r="AD21" s="609">
        <f t="shared" ref="AD21:AD30" si="4">IF(AC21="","",G20*100)</f>
        <v>1</v>
      </c>
      <c r="AE21" s="610">
        <f>AD21</f>
        <v>1</v>
      </c>
      <c r="AF21" s="610">
        <f t="shared" ref="AF21:AI21" si="5">AE21</f>
        <v>1</v>
      </c>
      <c r="AG21" s="610">
        <f t="shared" si="5"/>
        <v>1</v>
      </c>
      <c r="AH21" s="611">
        <f t="shared" si="5"/>
        <v>1</v>
      </c>
      <c r="AI21" s="610">
        <f t="shared" si="5"/>
        <v>1</v>
      </c>
      <c r="AM21" s="607" t="s">
        <v>209</v>
      </c>
      <c r="AN21" s="337" t="s">
        <v>99</v>
      </c>
      <c r="AO21" s="605" t="s">
        <v>126</v>
      </c>
      <c r="AP21" s="337" t="s">
        <v>209</v>
      </c>
    </row>
    <row r="22" spans="1:42" x14ac:dyDescent="0.2">
      <c r="A22" s="237">
        <v>2</v>
      </c>
      <c r="B22" s="237">
        <f t="shared" si="1"/>
        <v>2</v>
      </c>
      <c r="D22" s="147" t="s">
        <v>291</v>
      </c>
      <c r="E22" s="525" t="s">
        <v>313</v>
      </c>
      <c r="F22" s="526" t="s">
        <v>192</v>
      </c>
      <c r="G22" s="527">
        <v>0.35</v>
      </c>
      <c r="H22" s="149" t="str">
        <f t="shared" si="2"/>
        <v>VTI</v>
      </c>
      <c r="I22" s="138" t="str">
        <f>IF(H22="","",VLOOKUP(H22,'ETF List'!$C$3:$E$90,3,FALSE))</f>
        <v xml:space="preserve">Vanguard Total Stock Mrkt </v>
      </c>
      <c r="AC22" s="607" t="str">
        <f t="shared" si="3"/>
        <v>Global Bonds (USD Hedged)</v>
      </c>
      <c r="AD22" s="609">
        <f t="shared" si="4"/>
        <v>30</v>
      </c>
      <c r="AE22" s="610">
        <f>IF(AD22="","",AD22*'Price Inputs'!F6/'Price Inputs'!E6)</f>
        <v>30.040526849037487</v>
      </c>
      <c r="AF22" s="610">
        <f>IF(AE22="","",AE22*'Price Inputs'!G6/'Price Inputs'!F6)</f>
        <v>29.969604863221882</v>
      </c>
      <c r="AG22" s="610">
        <f>IF(AF22="","",AF22*'Price Inputs'!H6/'Price Inputs'!G6)</f>
        <v>29.84802431610942</v>
      </c>
      <c r="AH22" s="611">
        <f>IF(AG22="","",AG22*'Price Inputs'!I6/'Price Inputs'!H6)</f>
        <v>29.665653495440729</v>
      </c>
      <c r="AI22" s="610">
        <f>IF(AH22="","",AH22*'Price Inputs'!J6/'Price Inputs'!I6)</f>
        <v>29.939209726443767</v>
      </c>
      <c r="AM22" s="607" t="s">
        <v>210</v>
      </c>
      <c r="AN22" s="337" t="s">
        <v>100</v>
      </c>
      <c r="AO22" s="605" t="s">
        <v>272</v>
      </c>
      <c r="AP22" s="337" t="s">
        <v>210</v>
      </c>
    </row>
    <row r="23" spans="1:42" x14ac:dyDescent="0.2">
      <c r="A23" s="237">
        <v>3</v>
      </c>
      <c r="B23" s="237">
        <f t="shared" si="1"/>
        <v>3</v>
      </c>
      <c r="D23" s="147" t="s">
        <v>292</v>
      </c>
      <c r="E23" s="525" t="s">
        <v>341</v>
      </c>
      <c r="F23" s="526" t="s">
        <v>213</v>
      </c>
      <c r="G23" s="527">
        <v>0.34</v>
      </c>
      <c r="H23" s="149" t="str">
        <f t="shared" si="2"/>
        <v>IAU</v>
      </c>
      <c r="I23" s="138" t="str">
        <f>IF(H23="","",VLOOKUP(H23,'ETF List'!$C$3:$E$90,3,FALSE))</f>
        <v>iShares Gold Trust</v>
      </c>
      <c r="AC23" s="607" t="str">
        <f t="shared" si="3"/>
        <v>US Stock Market</v>
      </c>
      <c r="AD23" s="609">
        <f t="shared" si="4"/>
        <v>35</v>
      </c>
      <c r="AE23" s="610">
        <f>IF(AD23="","",AD23*'Price Inputs'!F7/'Price Inputs'!E7)</f>
        <v>36.150302037473118</v>
      </c>
      <c r="AF23" s="610">
        <f>IF(AE23="","",AE23*'Price Inputs'!G7/'Price Inputs'!F7)</f>
        <v>35.791952493088964</v>
      </c>
      <c r="AG23" s="610">
        <f>IF(AF23="","",AF23*'Price Inputs'!H7/'Price Inputs'!G7)</f>
        <v>35.996211733387938</v>
      </c>
      <c r="AH23" s="611">
        <f>IF(AG23="","",AG23*'Price Inputs'!I7/'Price Inputs'!H7)</f>
        <v>36.4764001228627</v>
      </c>
      <c r="AI23" s="610">
        <f>IF(AH23="","",AH23*'Price Inputs'!J7/'Price Inputs'!I7)</f>
        <v>37.350773011160022</v>
      </c>
      <c r="AM23" s="607" t="s">
        <v>211</v>
      </c>
      <c r="AN23" s="337" t="s">
        <v>108</v>
      </c>
      <c r="AO23" s="605" t="s">
        <v>139</v>
      </c>
      <c r="AP23" s="337" t="s">
        <v>282</v>
      </c>
    </row>
    <row r="24" spans="1:42" x14ac:dyDescent="0.2">
      <c r="A24" s="237">
        <v>4</v>
      </c>
      <c r="B24" s="237" t="str">
        <f t="shared" si="1"/>
        <v/>
      </c>
      <c r="D24" s="147" t="s">
        <v>293</v>
      </c>
      <c r="E24" s="525"/>
      <c r="F24" s="526"/>
      <c r="G24" s="527"/>
      <c r="H24" s="149" t="str">
        <f t="shared" si="2"/>
        <v/>
      </c>
      <c r="I24" s="138" t="str">
        <f>IF(H24="","",VLOOKUP(H24,'ETF List'!$C$3:$E$90,3,FALSE))</f>
        <v/>
      </c>
      <c r="AC24" s="607" t="str">
        <f t="shared" si="3"/>
        <v>Gold</v>
      </c>
      <c r="AD24" s="609">
        <f t="shared" si="4"/>
        <v>34</v>
      </c>
      <c r="AE24" s="610">
        <f>IF(AD24="","",AD24*'Price Inputs'!F8/'Price Inputs'!E8)</f>
        <v>34.54635352286774</v>
      </c>
      <c r="AF24" s="610">
        <f>IF(AE24="","",AE24*'Price Inputs'!G8/'Price Inputs'!F8)</f>
        <v>34.903584672435102</v>
      </c>
      <c r="AG24" s="610">
        <f>IF(AF24="","",AF24*'Price Inputs'!H8/'Price Inputs'!G8)</f>
        <v>34.672435105067983</v>
      </c>
      <c r="AH24" s="611">
        <f>IF(AG24="","",AG24*'Price Inputs'!I8/'Price Inputs'!H8)</f>
        <v>34.588380716934481</v>
      </c>
      <c r="AI24" s="610">
        <f>IF(AH24="","",AH24*'Price Inputs'!J8/'Price Inputs'!I8)</f>
        <v>34.903584672435102</v>
      </c>
      <c r="AM24" s="607" t="s">
        <v>310</v>
      </c>
      <c r="AN24" s="337" t="s">
        <v>98</v>
      </c>
      <c r="AO24" s="605" t="s">
        <v>143</v>
      </c>
      <c r="AP24" s="337" t="s">
        <v>280</v>
      </c>
    </row>
    <row r="25" spans="1:42" x14ac:dyDescent="0.2">
      <c r="A25" s="237">
        <v>5</v>
      </c>
      <c r="B25" s="237" t="str">
        <f t="shared" si="1"/>
        <v/>
      </c>
      <c r="D25" s="147" t="s">
        <v>294</v>
      </c>
      <c r="E25" s="525"/>
      <c r="F25" s="526"/>
      <c r="G25" s="527"/>
      <c r="H25" s="149" t="str">
        <f t="shared" si="2"/>
        <v/>
      </c>
      <c r="I25" s="138" t="str">
        <f>IF(H25="","",VLOOKUP(H25,'ETF List'!$C$3:$E$90,3,FALSE))</f>
        <v/>
      </c>
      <c r="AC25" s="607" t="str">
        <f t="shared" si="3"/>
        <v/>
      </c>
      <c r="AD25" s="612" t="str">
        <f t="shared" si="4"/>
        <v/>
      </c>
      <c r="AE25" s="610" t="str">
        <f>IF(AD25="","",AD25*'Price Inputs'!F9/'Price Inputs'!E9)</f>
        <v/>
      </c>
      <c r="AF25" s="610" t="str">
        <f>IF(AE25="","",AE25*'Price Inputs'!G9/'Price Inputs'!F9)</f>
        <v/>
      </c>
      <c r="AG25" s="610" t="str">
        <f>IF(AF25="","",AF25*'Price Inputs'!H9/'Price Inputs'!G9)</f>
        <v/>
      </c>
      <c r="AH25" s="611" t="str">
        <f>IF(AG25="","",AG25*'Price Inputs'!I9/'Price Inputs'!H9)</f>
        <v/>
      </c>
      <c r="AI25" s="610" t="str">
        <f>IF(AH25="","",AH25*'Price Inputs'!J9/'Price Inputs'!I9)</f>
        <v/>
      </c>
      <c r="AM25" s="607" t="s">
        <v>212</v>
      </c>
      <c r="AN25" s="337" t="s">
        <v>110</v>
      </c>
      <c r="AO25" s="605" t="s">
        <v>138</v>
      </c>
      <c r="AP25" s="337" t="s">
        <v>36</v>
      </c>
    </row>
    <row r="26" spans="1:42" x14ac:dyDescent="0.2">
      <c r="A26" s="237">
        <v>6</v>
      </c>
      <c r="B26" s="237" t="str">
        <f t="shared" si="1"/>
        <v/>
      </c>
      <c r="D26" s="147" t="s">
        <v>295</v>
      </c>
      <c r="E26" s="525"/>
      <c r="F26" s="526"/>
      <c r="G26" s="527"/>
      <c r="H26" s="149" t="str">
        <f t="shared" si="2"/>
        <v/>
      </c>
      <c r="I26" s="138" t="str">
        <f>IF(H26="","",VLOOKUP(H26,'ETF List'!$C$3:$E$90,3,FALSE))</f>
        <v/>
      </c>
      <c r="AC26" s="607" t="str">
        <f t="shared" si="3"/>
        <v/>
      </c>
      <c r="AD26" s="612" t="str">
        <f t="shared" si="4"/>
        <v/>
      </c>
      <c r="AE26" s="610" t="str">
        <f>IF(AD26="","",AD26*'Price Inputs'!F10/'Price Inputs'!E10)</f>
        <v/>
      </c>
      <c r="AF26" s="610" t="str">
        <f>IF(AE26="","",AE26*'Price Inputs'!G10/'Price Inputs'!F10)</f>
        <v/>
      </c>
      <c r="AG26" s="610" t="str">
        <f>IF(AF26="","",AF26*'Price Inputs'!H10/'Price Inputs'!G10)</f>
        <v/>
      </c>
      <c r="AH26" s="611" t="str">
        <f>IF(AG26="","",AG26*'Price Inputs'!I10/'Price Inputs'!H10)</f>
        <v/>
      </c>
      <c r="AI26" s="610" t="str">
        <f>IF(AH26="","",AH26*'Price Inputs'!J10/'Price Inputs'!I10)</f>
        <v/>
      </c>
      <c r="AM26" s="607" t="s">
        <v>169</v>
      </c>
      <c r="AN26" s="337" t="s">
        <v>121</v>
      </c>
      <c r="AO26" s="605" t="s">
        <v>236</v>
      </c>
      <c r="AP26" s="337" t="s">
        <v>169</v>
      </c>
    </row>
    <row r="27" spans="1:42" x14ac:dyDescent="0.2">
      <c r="A27" s="237">
        <v>7</v>
      </c>
      <c r="B27" s="237" t="str">
        <f t="shared" si="1"/>
        <v/>
      </c>
      <c r="D27" s="147" t="s">
        <v>296</v>
      </c>
      <c r="E27" s="525"/>
      <c r="F27" s="526"/>
      <c r="G27" s="527"/>
      <c r="H27" s="149" t="str">
        <f t="shared" si="2"/>
        <v/>
      </c>
      <c r="I27" s="138" t="str">
        <f>IF(H27="","",VLOOKUP(H27,'ETF List'!$C$3:$E$90,3,FALSE))</f>
        <v/>
      </c>
      <c r="AC27" s="607" t="str">
        <f t="shared" si="3"/>
        <v/>
      </c>
      <c r="AD27" s="612" t="str">
        <f t="shared" si="4"/>
        <v/>
      </c>
      <c r="AE27" s="610" t="str">
        <f>IF(AD27="","",AD27*'Price Inputs'!F11/'Price Inputs'!E11)</f>
        <v/>
      </c>
      <c r="AF27" s="610" t="str">
        <f>IF(AE27="","",AE27*'Price Inputs'!G11/'Price Inputs'!F11)</f>
        <v/>
      </c>
      <c r="AG27" s="610" t="str">
        <f>IF(AF27="","",AF27*'Price Inputs'!H11/'Price Inputs'!G11)</f>
        <v/>
      </c>
      <c r="AH27" s="611" t="str">
        <f>IF(AG27="","",AG27*'Price Inputs'!I11/'Price Inputs'!H11)</f>
        <v/>
      </c>
      <c r="AI27" s="610" t="str">
        <f>IF(AH27="","",AH27*'Price Inputs'!J11/'Price Inputs'!I11)</f>
        <v/>
      </c>
      <c r="AM27" s="607" t="s">
        <v>213</v>
      </c>
      <c r="AN27" s="337" t="s">
        <v>45</v>
      </c>
      <c r="AO27" s="605" t="s">
        <v>140</v>
      </c>
      <c r="AP27" s="337" t="s">
        <v>213</v>
      </c>
    </row>
    <row r="28" spans="1:42" x14ac:dyDescent="0.2">
      <c r="A28" s="237">
        <v>8</v>
      </c>
      <c r="B28" s="237" t="str">
        <f t="shared" si="1"/>
        <v/>
      </c>
      <c r="D28" s="147" t="s">
        <v>297</v>
      </c>
      <c r="E28" s="525"/>
      <c r="F28" s="526"/>
      <c r="G28" s="527"/>
      <c r="H28" s="149" t="str">
        <f t="shared" si="2"/>
        <v/>
      </c>
      <c r="I28" s="138" t="str">
        <f>IF(H28="","",VLOOKUP(H28,'ETF List'!$C$3:$E$90,3,FALSE))</f>
        <v/>
      </c>
      <c r="AC28" s="607" t="str">
        <f t="shared" si="3"/>
        <v/>
      </c>
      <c r="AD28" s="612" t="str">
        <f t="shared" si="4"/>
        <v/>
      </c>
      <c r="AE28" s="610" t="str">
        <f>IF(AD28="","",AD28*'Price Inputs'!F12/'Price Inputs'!E12)</f>
        <v/>
      </c>
      <c r="AF28" s="610" t="str">
        <f>IF(AE28="","",AE28*'Price Inputs'!G12/'Price Inputs'!F12)</f>
        <v/>
      </c>
      <c r="AG28" s="610" t="str">
        <f>IF(AF28="","",AF28*'Price Inputs'!H12/'Price Inputs'!G12)</f>
        <v/>
      </c>
      <c r="AH28" s="611" t="str">
        <f>IF(AG28="","",AG28*'Price Inputs'!I12/'Price Inputs'!H12)</f>
        <v/>
      </c>
      <c r="AI28" s="610" t="str">
        <f>IF(AH28="","",AH28*'Price Inputs'!J12/'Price Inputs'!I12)</f>
        <v/>
      </c>
      <c r="AM28" s="607" t="s">
        <v>34</v>
      </c>
      <c r="AN28" s="337" t="s">
        <v>46</v>
      </c>
      <c r="AO28" s="605" t="s">
        <v>141</v>
      </c>
      <c r="AP28" s="337" t="s">
        <v>278</v>
      </c>
    </row>
    <row r="29" spans="1:42" x14ac:dyDescent="0.2">
      <c r="A29" s="237">
        <v>9</v>
      </c>
      <c r="B29" s="237" t="str">
        <f t="shared" si="1"/>
        <v/>
      </c>
      <c r="D29" s="148" t="s">
        <v>298</v>
      </c>
      <c r="E29" s="528"/>
      <c r="F29" s="529"/>
      <c r="G29" s="530"/>
      <c r="H29" s="150" t="str">
        <f t="shared" si="2"/>
        <v/>
      </c>
      <c r="I29" s="139" t="str">
        <f>IF(H29="","",VLOOKUP(H29,'ETF List'!$C$3:$E$90,3,FALSE))</f>
        <v/>
      </c>
      <c r="AC29" s="607" t="str">
        <f t="shared" si="3"/>
        <v/>
      </c>
      <c r="AD29" s="612" t="str">
        <f t="shared" si="4"/>
        <v/>
      </c>
      <c r="AE29" s="610" t="str">
        <f>IF(AD29="","",AD29*'Price Inputs'!F13/'Price Inputs'!E13)</f>
        <v/>
      </c>
      <c r="AF29" s="610" t="str">
        <f>IF(AE29="","",AE29*'Price Inputs'!G13/'Price Inputs'!F13)</f>
        <v/>
      </c>
      <c r="AG29" s="610" t="str">
        <f>IF(AF29="","",AF29*'Price Inputs'!H13/'Price Inputs'!G13)</f>
        <v/>
      </c>
      <c r="AH29" s="611" t="str">
        <f>IF(AG29="","",AG29*'Price Inputs'!I13/'Price Inputs'!H13)</f>
        <v/>
      </c>
      <c r="AI29" s="610" t="str">
        <f>IF(AH29="","",AH29*'Price Inputs'!J13/'Price Inputs'!I13)</f>
        <v/>
      </c>
      <c r="AM29" s="607" t="s">
        <v>43</v>
      </c>
      <c r="AN29" s="337" t="s">
        <v>47</v>
      </c>
      <c r="AO29" s="605" t="s">
        <v>334</v>
      </c>
      <c r="AP29" s="337" t="s">
        <v>279</v>
      </c>
    </row>
    <row r="30" spans="1:42" x14ac:dyDescent="0.2">
      <c r="D30" s="18"/>
      <c r="E30" s="18"/>
      <c r="F30" s="144" t="s">
        <v>151</v>
      </c>
      <c r="G30" s="145">
        <f>SUM(G20:G29)</f>
        <v>1</v>
      </c>
      <c r="H30" s="18"/>
      <c r="I30" s="18"/>
      <c r="AC30" s="607" t="str">
        <f t="shared" si="3"/>
        <v/>
      </c>
      <c r="AD30" s="612" t="str">
        <f t="shared" si="4"/>
        <v/>
      </c>
      <c r="AE30" s="610" t="str">
        <f>IF(AD30="","",AD30*'Price Inputs'!F14/'Price Inputs'!E14)</f>
        <v/>
      </c>
      <c r="AF30" s="610" t="str">
        <f>IF(AE30="","",AE30*'Price Inputs'!G14/'Price Inputs'!F14)</f>
        <v/>
      </c>
      <c r="AG30" s="610" t="str">
        <f>IF(AF30="","",AF30*'Price Inputs'!H14/'Price Inputs'!G14)</f>
        <v/>
      </c>
      <c r="AH30" s="611" t="str">
        <f>IF(AG30="","",AG30*'Price Inputs'!I14/'Price Inputs'!H14)</f>
        <v/>
      </c>
      <c r="AI30" s="610" t="str">
        <f>IF(AH30="","",AH30*'Price Inputs'!J14/'Price Inputs'!I14)</f>
        <v/>
      </c>
    </row>
    <row r="36" spans="12:37" x14ac:dyDescent="0.2">
      <c r="AC36" s="607" t="str">
        <f t="shared" ref="AC36:AC41" si="6">IF(F20="","",F20)</f>
        <v>Cash</v>
      </c>
      <c r="AD36" s="613">
        <f t="shared" ref="AD36:AI45" si="7">IF(AC36="","",AD21/AD$20)</f>
        <v>0.01</v>
      </c>
      <c r="AE36" s="613">
        <f t="shared" si="7"/>
        <v>9.8292480322102766E-3</v>
      </c>
      <c r="AF36" s="613">
        <f t="shared" si="7"/>
        <v>9.8362130819356821E-3</v>
      </c>
      <c r="AG36" s="613">
        <f t="shared" si="7"/>
        <v>9.8505988093072813E-3</v>
      </c>
      <c r="AH36" s="613">
        <f t="shared" si="7"/>
        <v>9.8299000346803271E-3</v>
      </c>
      <c r="AI36" s="613">
        <f t="shared" si="7"/>
        <v>9.6905265037161396E-3</v>
      </c>
      <c r="AJ36" s="613">
        <f>IF(AC36="","",AVERAGE(AD36:AI36))</f>
        <v>9.8394144103082851E-3</v>
      </c>
    </row>
    <row r="37" spans="12:37" ht="16" x14ac:dyDescent="0.2">
      <c r="L37" s="332" t="s">
        <v>320</v>
      </c>
      <c r="M37" s="156"/>
      <c r="N37" s="154"/>
      <c r="AC37" s="607" t="str">
        <f t="shared" si="6"/>
        <v>Global Bonds (USD Hedged)</v>
      </c>
      <c r="AD37" s="613">
        <f t="shared" si="7"/>
        <v>0.3</v>
      </c>
      <c r="AE37" s="613">
        <f t="shared" si="7"/>
        <v>0.29527578941746169</v>
      </c>
      <c r="AF37" s="613">
        <f t="shared" si="7"/>
        <v>0.29478741941606629</v>
      </c>
      <c r="AG37" s="613">
        <f t="shared" si="7"/>
        <v>0.29402091278844222</v>
      </c>
      <c r="AH37" s="613">
        <f t="shared" si="7"/>
        <v>0.29161040832364743</v>
      </c>
      <c r="AI37" s="613">
        <f t="shared" si="7"/>
        <v>0.29012670535441937</v>
      </c>
      <c r="AJ37" s="613">
        <f t="shared" ref="AJ37:AJ45" si="8">IF(AC37="","",AVERAGE(AD37:AI37))</f>
        <v>0.29430353921667285</v>
      </c>
    </row>
    <row r="38" spans="12:37" x14ac:dyDescent="0.2">
      <c r="L38" s="369" t="s">
        <v>32</v>
      </c>
      <c r="M38" s="370"/>
      <c r="N38" s="371" t="s">
        <v>300</v>
      </c>
      <c r="AC38" s="607" t="str">
        <f t="shared" si="6"/>
        <v>US Stock Market</v>
      </c>
      <c r="AD38" s="613">
        <f t="shared" si="7"/>
        <v>0.35</v>
      </c>
      <c r="AE38" s="613">
        <f t="shared" si="7"/>
        <v>0.3553302851656398</v>
      </c>
      <c r="AF38" s="613">
        <f t="shared" si="7"/>
        <v>0.3520572713405421</v>
      </c>
      <c r="AG38" s="613">
        <f t="shared" si="7"/>
        <v>0.35458424044048398</v>
      </c>
      <c r="AH38" s="613">
        <f t="shared" si="7"/>
        <v>0.35855936683274159</v>
      </c>
      <c r="AI38" s="613">
        <f t="shared" si="7"/>
        <v>0.36194865579893171</v>
      </c>
      <c r="AJ38" s="613">
        <f t="shared" si="8"/>
        <v>0.35541330326305648</v>
      </c>
    </row>
    <row r="39" spans="12:37" x14ac:dyDescent="0.2">
      <c r="L39" s="157" t="str">
        <f>AD3</f>
        <v>Cash</v>
      </c>
      <c r="M39" s="158" t="s">
        <v>149</v>
      </c>
      <c r="N39" s="159">
        <f>SUMIF($E$20:$E$29,M39,$G$20:$G$29)</f>
        <v>0.01</v>
      </c>
      <c r="AC39" s="607" t="str">
        <f t="shared" si="6"/>
        <v>Gold</v>
      </c>
      <c r="AD39" s="613">
        <f t="shared" si="7"/>
        <v>0.34</v>
      </c>
      <c r="AE39" s="613">
        <f t="shared" si="7"/>
        <v>0.33956467738468832</v>
      </c>
      <c r="AF39" s="613">
        <f t="shared" si="7"/>
        <v>0.34331909616145589</v>
      </c>
      <c r="AG39" s="613">
        <f t="shared" si="7"/>
        <v>0.34154424796176663</v>
      </c>
      <c r="AH39" s="613">
        <f t="shared" si="7"/>
        <v>0.34000032480893061</v>
      </c>
      <c r="AI39" s="613">
        <f t="shared" si="7"/>
        <v>0.33823411234293277</v>
      </c>
      <c r="AJ39" s="613">
        <f t="shared" si="8"/>
        <v>0.34044374310996234</v>
      </c>
    </row>
    <row r="40" spans="12:37" x14ac:dyDescent="0.2">
      <c r="L40" s="157" t="str">
        <f>AD4</f>
        <v>US Equity</v>
      </c>
      <c r="M40" s="158" t="s">
        <v>313</v>
      </c>
      <c r="N40" s="159">
        <f>SUMIF($E$20:$E$29,M40,$G$20:$G$29)</f>
        <v>0.35</v>
      </c>
      <c r="AC40" s="607" t="str">
        <f t="shared" si="6"/>
        <v/>
      </c>
      <c r="AD40" s="613" t="str">
        <f t="shared" si="7"/>
        <v/>
      </c>
      <c r="AE40" s="613" t="str">
        <f t="shared" si="7"/>
        <v/>
      </c>
      <c r="AF40" s="613" t="str">
        <f t="shared" si="7"/>
        <v/>
      </c>
      <c r="AG40" s="613" t="str">
        <f t="shared" si="7"/>
        <v/>
      </c>
      <c r="AH40" s="613" t="str">
        <f t="shared" si="7"/>
        <v/>
      </c>
      <c r="AI40" s="613" t="str">
        <f t="shared" si="7"/>
        <v/>
      </c>
      <c r="AJ40" s="613" t="str">
        <f t="shared" si="8"/>
        <v/>
      </c>
    </row>
    <row r="41" spans="12:37" x14ac:dyDescent="0.2">
      <c r="L41" s="157" t="str">
        <f>AD5</f>
        <v>Intl Equity</v>
      </c>
      <c r="M41" s="158" t="s">
        <v>314</v>
      </c>
      <c r="N41" s="159">
        <f>SUMIF($E$20:$E$29,M41,$G$20:$G$29)</f>
        <v>0</v>
      </c>
      <c r="AC41" s="607" t="str">
        <f t="shared" si="6"/>
        <v/>
      </c>
      <c r="AD41" s="613" t="str">
        <f t="shared" si="7"/>
        <v/>
      </c>
      <c r="AE41" s="613" t="str">
        <f t="shared" si="7"/>
        <v/>
      </c>
      <c r="AF41" s="613" t="str">
        <f t="shared" si="7"/>
        <v/>
      </c>
      <c r="AG41" s="613" t="str">
        <f t="shared" si="7"/>
        <v/>
      </c>
      <c r="AH41" s="613" t="str">
        <f t="shared" si="7"/>
        <v/>
      </c>
      <c r="AI41" s="613" t="str">
        <f t="shared" si="7"/>
        <v/>
      </c>
      <c r="AJ41" s="613" t="str">
        <f t="shared" si="8"/>
        <v/>
      </c>
    </row>
    <row r="42" spans="12:37" x14ac:dyDescent="0.2">
      <c r="L42" s="157" t="str">
        <f>AD6</f>
        <v>Bonds</v>
      </c>
      <c r="M42" s="158" t="s">
        <v>303</v>
      </c>
      <c r="N42" s="159">
        <f>SUMIF($E$20:$E$29,M42,$G$20:$G$29)</f>
        <v>0.3</v>
      </c>
      <c r="AC42" s="607" t="str">
        <f>IF(F26="","",E26)</f>
        <v/>
      </c>
      <c r="AD42" s="613" t="str">
        <f t="shared" si="7"/>
        <v/>
      </c>
      <c r="AE42" s="613" t="str">
        <f t="shared" si="7"/>
        <v/>
      </c>
      <c r="AF42" s="613" t="str">
        <f t="shared" si="7"/>
        <v/>
      </c>
      <c r="AG42" s="613" t="str">
        <f t="shared" si="7"/>
        <v/>
      </c>
      <c r="AH42" s="613" t="str">
        <f t="shared" si="7"/>
        <v/>
      </c>
      <c r="AI42" s="613" t="str">
        <f t="shared" si="7"/>
        <v/>
      </c>
      <c r="AJ42" s="613" t="str">
        <f t="shared" si="8"/>
        <v/>
      </c>
      <c r="AK42" s="613"/>
    </row>
    <row r="43" spans="12:37" x14ac:dyDescent="0.2">
      <c r="L43" s="160" t="str">
        <f>AD7</f>
        <v>Alternatives</v>
      </c>
      <c r="M43" s="161" t="s">
        <v>341</v>
      </c>
      <c r="N43" s="162">
        <f>SUMIF($E$20:$E$29,M43,$G$20:$G$29)</f>
        <v>0.34</v>
      </c>
      <c r="AC43" s="607" t="str">
        <f>IF(F27="","",E27)</f>
        <v/>
      </c>
      <c r="AD43" s="613" t="str">
        <f t="shared" si="7"/>
        <v/>
      </c>
      <c r="AE43" s="613" t="str">
        <f t="shared" si="7"/>
        <v/>
      </c>
      <c r="AF43" s="613" t="str">
        <f t="shared" si="7"/>
        <v/>
      </c>
      <c r="AG43" s="613" t="str">
        <f t="shared" si="7"/>
        <v/>
      </c>
      <c r="AH43" s="613" t="str">
        <f t="shared" si="7"/>
        <v/>
      </c>
      <c r="AI43" s="613" t="str">
        <f t="shared" si="7"/>
        <v/>
      </c>
      <c r="AJ43" s="613" t="str">
        <f t="shared" si="8"/>
        <v/>
      </c>
      <c r="AK43" s="613"/>
    </row>
    <row r="44" spans="12:37" x14ac:dyDescent="0.2">
      <c r="AC44" s="607" t="str">
        <f>IF(F28="","",E28)</f>
        <v/>
      </c>
      <c r="AD44" s="613" t="str">
        <f t="shared" si="7"/>
        <v/>
      </c>
      <c r="AE44" s="613" t="str">
        <f t="shared" si="7"/>
        <v/>
      </c>
      <c r="AF44" s="613" t="str">
        <f t="shared" si="7"/>
        <v/>
      </c>
      <c r="AG44" s="613" t="str">
        <f t="shared" si="7"/>
        <v/>
      </c>
      <c r="AH44" s="613" t="str">
        <f t="shared" si="7"/>
        <v/>
      </c>
      <c r="AI44" s="613" t="str">
        <f t="shared" si="7"/>
        <v/>
      </c>
      <c r="AJ44" s="613" t="str">
        <f t="shared" si="8"/>
        <v/>
      </c>
      <c r="AK44" s="613"/>
    </row>
    <row r="45" spans="12:37" x14ac:dyDescent="0.2">
      <c r="AC45" s="607" t="str">
        <f>IF(F29="","",E29)</f>
        <v/>
      </c>
      <c r="AD45" s="613" t="str">
        <f t="shared" si="7"/>
        <v/>
      </c>
      <c r="AE45" s="613" t="str">
        <f t="shared" si="7"/>
        <v/>
      </c>
      <c r="AF45" s="613" t="str">
        <f t="shared" si="7"/>
        <v/>
      </c>
      <c r="AG45" s="613" t="str">
        <f t="shared" si="7"/>
        <v/>
      </c>
      <c r="AH45" s="613" t="str">
        <f t="shared" si="7"/>
        <v/>
      </c>
      <c r="AI45" s="613" t="str">
        <f t="shared" si="7"/>
        <v/>
      </c>
      <c r="AJ45" s="613" t="str">
        <f t="shared" si="8"/>
        <v/>
      </c>
      <c r="AK45" s="613"/>
    </row>
    <row r="48" spans="12:37" x14ac:dyDescent="0.2">
      <c r="AC48" s="607" t="str">
        <f>AD3</f>
        <v>Cash</v>
      </c>
      <c r="AD48" s="614">
        <f>SUMIF('Risk &amp; Returns'!$C$20:$C$25,VLOOKUP($AC48,$L$39:$M$43,2,FALSE),AD$36:AD$41)</f>
        <v>0.01</v>
      </c>
      <c r="AE48" s="614">
        <f>SUMIF('Risk &amp; Returns'!$C$20:$C$25,VLOOKUP($AC48,$L$39:$M$43,2,FALSE),AE$36:AE$41)</f>
        <v>9.8292480322102766E-3</v>
      </c>
      <c r="AF48" s="614">
        <f>SUMIF('Risk &amp; Returns'!$C$20:$C$25,VLOOKUP($AC48,$L$39:$M$43,2,FALSE),AF$36:AF$41)</f>
        <v>9.8362130819356821E-3</v>
      </c>
      <c r="AG48" s="614">
        <f>SUMIF('Risk &amp; Returns'!$C$20:$C$25,VLOOKUP($AC48,$L$39:$M$43,2,FALSE),AG$36:AG$41)</f>
        <v>9.8505988093072813E-3</v>
      </c>
      <c r="AH48" s="614">
        <f>SUMIF('Risk &amp; Returns'!$C$20:$C$25,VLOOKUP($AC48,$L$39:$M$43,2,FALSE),AH$36:AH$41)</f>
        <v>9.8299000346803271E-3</v>
      </c>
      <c r="AI48" s="614">
        <f>SUMIF('Risk &amp; Returns'!$C$20:$C$25,VLOOKUP($AC48,$L$39:$M$43,2,FALSE),AI$36:AI$41)</f>
        <v>9.6905265037161396E-3</v>
      </c>
      <c r="AJ48" s="614">
        <f>SUMIF('Risk &amp; Returns'!$C$20:$C$25,VLOOKUP($AC48,$L$39:$M$43,2,FALSE),AJ$36:AJ$41)</f>
        <v>9.8394144103082851E-3</v>
      </c>
    </row>
    <row r="49" spans="29:36" x14ac:dyDescent="0.2">
      <c r="AC49" s="607" t="str">
        <f>AD4</f>
        <v>US Equity</v>
      </c>
      <c r="AD49" s="614">
        <f>SUMIF('Risk &amp; Returns'!$C$20:$C$25,VLOOKUP($AC49,$L$39:$M$43,2,FALSE),AD$36:AD$41)</f>
        <v>0.35</v>
      </c>
      <c r="AE49" s="614">
        <f>SUMIF('Risk &amp; Returns'!$C$20:$C$25,VLOOKUP($AC49,$L$39:$M$43,2,FALSE),AE$36:AE$41)</f>
        <v>0.3553302851656398</v>
      </c>
      <c r="AF49" s="614">
        <f>SUMIF('Risk &amp; Returns'!$C$20:$C$25,VLOOKUP($AC49,$L$39:$M$43,2,FALSE),AF$36:AF$41)</f>
        <v>0.3520572713405421</v>
      </c>
      <c r="AG49" s="614">
        <f>SUMIF('Risk &amp; Returns'!$C$20:$C$25,VLOOKUP($AC49,$L$39:$M$43,2,FALSE),AG$36:AG$41)</f>
        <v>0.35458424044048398</v>
      </c>
      <c r="AH49" s="614">
        <f>SUMIF('Risk &amp; Returns'!$C$20:$C$25,VLOOKUP($AC49,$L$39:$M$43,2,FALSE),AH$36:AH$41)</f>
        <v>0.35855936683274159</v>
      </c>
      <c r="AI49" s="614">
        <f>SUMIF('Risk &amp; Returns'!$C$20:$C$25,VLOOKUP($AC49,$L$39:$M$43,2,FALSE),AI$36:AI$41)</f>
        <v>0.36194865579893171</v>
      </c>
      <c r="AJ49" s="614">
        <f>SUMIF('Risk &amp; Returns'!$C$20:$C$25,VLOOKUP($AC49,$L$39:$M$43,2,FALSE),AJ$36:AJ$41)</f>
        <v>0.35541330326305648</v>
      </c>
    </row>
    <row r="50" spans="29:36" x14ac:dyDescent="0.2">
      <c r="AC50" s="607" t="str">
        <f>AD5</f>
        <v>Intl Equity</v>
      </c>
      <c r="AD50" s="614">
        <f>SUMIF('Risk &amp; Returns'!$C$20:$C$25,VLOOKUP($AC50,$L$39:$M$43,2,FALSE),AD$36:AD$41)</f>
        <v>0</v>
      </c>
      <c r="AE50" s="614">
        <f>SUMIF('Risk &amp; Returns'!$C$20:$C$25,VLOOKUP($AC50,$L$39:$M$43,2,FALSE),AE$36:AE$41)</f>
        <v>0</v>
      </c>
      <c r="AF50" s="614">
        <f>SUMIF('Risk &amp; Returns'!$C$20:$C$25,VLOOKUP($AC50,$L$39:$M$43,2,FALSE),AF$36:AF$41)</f>
        <v>0</v>
      </c>
      <c r="AG50" s="614">
        <f>SUMIF('Risk &amp; Returns'!$C$20:$C$25,VLOOKUP($AC50,$L$39:$M$43,2,FALSE),AG$36:AG$41)</f>
        <v>0</v>
      </c>
      <c r="AH50" s="614">
        <f>SUMIF('Risk &amp; Returns'!$C$20:$C$25,VLOOKUP($AC50,$L$39:$M$43,2,FALSE),AH$36:AH$41)</f>
        <v>0</v>
      </c>
      <c r="AI50" s="614">
        <f>SUMIF('Risk &amp; Returns'!$C$20:$C$25,VLOOKUP($AC50,$L$39:$M$43,2,FALSE),AI$36:AI$41)</f>
        <v>0</v>
      </c>
      <c r="AJ50" s="614">
        <f>SUMIF('Risk &amp; Returns'!$C$20:$C$25,VLOOKUP($AC50,$L$39:$M$43,2,FALSE),AJ$36:AJ$41)</f>
        <v>0</v>
      </c>
    </row>
    <row r="51" spans="29:36" x14ac:dyDescent="0.2">
      <c r="AC51" s="607" t="str">
        <f>AD6</f>
        <v>Bonds</v>
      </c>
      <c r="AD51" s="614">
        <f>SUMIF('Risk &amp; Returns'!$C$20:$C$25,VLOOKUP($AC51,$L$39:$M$43,2,FALSE),AD$36:AD$41)</f>
        <v>0.3</v>
      </c>
      <c r="AE51" s="614">
        <f>SUMIF('Risk &amp; Returns'!$C$20:$C$25,VLOOKUP($AC51,$L$39:$M$43,2,FALSE),AE$36:AE$41)</f>
        <v>0.29527578941746169</v>
      </c>
      <c r="AF51" s="614">
        <f>SUMIF('Risk &amp; Returns'!$C$20:$C$25,VLOOKUP($AC51,$L$39:$M$43,2,FALSE),AF$36:AF$41)</f>
        <v>0.29478741941606629</v>
      </c>
      <c r="AG51" s="614">
        <f>SUMIF('Risk &amp; Returns'!$C$20:$C$25,VLOOKUP($AC51,$L$39:$M$43,2,FALSE),AG$36:AG$41)</f>
        <v>0.29402091278844222</v>
      </c>
      <c r="AH51" s="614">
        <f>SUMIF('Risk &amp; Returns'!$C$20:$C$25,VLOOKUP($AC51,$L$39:$M$43,2,FALSE),AH$36:AH$41)</f>
        <v>0.29161040832364743</v>
      </c>
      <c r="AI51" s="614">
        <f>SUMIF('Risk &amp; Returns'!$C$20:$C$25,VLOOKUP($AC51,$L$39:$M$43,2,FALSE),AI$36:AI$41)</f>
        <v>0.29012670535441937</v>
      </c>
      <c r="AJ51" s="614">
        <f>SUMIF('Risk &amp; Returns'!$C$20:$C$25,VLOOKUP($AC51,$L$39:$M$43,2,FALSE),AJ$36:AJ$41)</f>
        <v>0.29430353921667285</v>
      </c>
    </row>
    <row r="52" spans="29:36" x14ac:dyDescent="0.2">
      <c r="AC52" s="607" t="str">
        <f>AD7</f>
        <v>Alternatives</v>
      </c>
      <c r="AD52" s="614">
        <f>SUMIF('Risk &amp; Returns'!$C$20:$C$25,VLOOKUP($AC52,$L$39:$M$43,2,FALSE),AD$36:AD$41)</f>
        <v>0.34</v>
      </c>
      <c r="AE52" s="614">
        <f>SUMIF('Risk &amp; Returns'!$C$20:$C$25,VLOOKUP($AC52,$L$39:$M$43,2,FALSE),AE$36:AE$41)</f>
        <v>0.33956467738468832</v>
      </c>
      <c r="AF52" s="614">
        <f>SUMIF('Risk &amp; Returns'!$C$20:$C$25,VLOOKUP($AC52,$L$39:$M$43,2,FALSE),AF$36:AF$41)</f>
        <v>0.34331909616145589</v>
      </c>
      <c r="AG52" s="614">
        <f>SUMIF('Risk &amp; Returns'!$C$20:$C$25,VLOOKUP($AC52,$L$39:$M$43,2,FALSE),AG$36:AG$41)</f>
        <v>0.34154424796176663</v>
      </c>
      <c r="AH52" s="614">
        <f>SUMIF('Risk &amp; Returns'!$C$20:$C$25,VLOOKUP($AC52,$L$39:$M$43,2,FALSE),AH$36:AH$41)</f>
        <v>0.34000032480893061</v>
      </c>
      <c r="AI52" s="614">
        <f>SUMIF('Risk &amp; Returns'!$C$20:$C$25,VLOOKUP($AC52,$L$39:$M$43,2,FALSE),AI$36:AI$41)</f>
        <v>0.33823411234293277</v>
      </c>
      <c r="AJ52" s="614">
        <f>SUMIF('Risk &amp; Returns'!$C$20:$C$25,VLOOKUP($AC52,$L$39:$M$43,2,FALSE),AJ$36:AJ$41)</f>
        <v>0.34044374310996234</v>
      </c>
    </row>
    <row r="57" spans="29:36" x14ac:dyDescent="0.2">
      <c r="AE57" s="615"/>
      <c r="AF57" s="615"/>
    </row>
    <row r="58" spans="29:36" x14ac:dyDescent="0.2">
      <c r="AE58" s="615"/>
      <c r="AF58" s="615"/>
    </row>
    <row r="59" spans="29:36" x14ac:dyDescent="0.2">
      <c r="AE59" s="615"/>
      <c r="AF59" s="615"/>
    </row>
    <row r="60" spans="29:36" x14ac:dyDescent="0.2">
      <c r="AE60" s="615"/>
      <c r="AF60" s="615"/>
    </row>
    <row r="65" spans="30:30" x14ac:dyDescent="0.2">
      <c r="AD65" s="615"/>
    </row>
    <row r="66" spans="30:30" x14ac:dyDescent="0.2">
      <c r="AD66" s="615"/>
    </row>
    <row r="88" spans="22:25" x14ac:dyDescent="0.2">
      <c r="V88"/>
      <c r="W88"/>
      <c r="X88"/>
      <c r="Y88"/>
    </row>
    <row r="89" spans="22:25" x14ac:dyDescent="0.2">
      <c r="V89"/>
      <c r="W89"/>
      <c r="X89"/>
      <c r="Y89"/>
    </row>
    <row r="90" spans="22:25" x14ac:dyDescent="0.2">
      <c r="V90"/>
      <c r="W90"/>
      <c r="X90"/>
      <c r="Y90"/>
    </row>
    <row r="91" spans="22:25" x14ac:dyDescent="0.2">
      <c r="V91"/>
      <c r="W91"/>
      <c r="X91"/>
      <c r="Y91"/>
    </row>
    <row r="92" spans="22:25" x14ac:dyDescent="0.2">
      <c r="V92"/>
      <c r="W92"/>
      <c r="X92"/>
      <c r="Y92"/>
    </row>
    <row r="93" spans="22:25" x14ac:dyDescent="0.2">
      <c r="V93"/>
      <c r="W93"/>
      <c r="X93"/>
      <c r="Y93"/>
    </row>
    <row r="94" spans="22:25" x14ac:dyDescent="0.2">
      <c r="V94"/>
      <c r="W94"/>
      <c r="X94"/>
      <c r="Y94"/>
    </row>
    <row r="95" spans="22:25" x14ac:dyDescent="0.2">
      <c r="V95"/>
      <c r="W95"/>
      <c r="X95"/>
      <c r="Y95"/>
    </row>
    <row r="96" spans="22:25" x14ac:dyDescent="0.2">
      <c r="V96"/>
      <c r="W96"/>
      <c r="X96"/>
      <c r="Y96"/>
    </row>
    <row r="97" spans="22:25" x14ac:dyDescent="0.2">
      <c r="V97"/>
      <c r="W97"/>
      <c r="X97"/>
      <c r="Y97"/>
    </row>
    <row r="98" spans="22:25" x14ac:dyDescent="0.2">
      <c r="V98"/>
      <c r="W98"/>
      <c r="X98"/>
      <c r="Y98"/>
    </row>
    <row r="99" spans="22:25" x14ac:dyDescent="0.2">
      <c r="V99"/>
      <c r="W99"/>
      <c r="X99"/>
      <c r="Y99"/>
    </row>
    <row r="100" spans="22:25" x14ac:dyDescent="0.2">
      <c r="V100"/>
      <c r="W100"/>
      <c r="X100"/>
      <c r="Y100"/>
    </row>
    <row r="101" spans="22:25" x14ac:dyDescent="0.2">
      <c r="V101"/>
      <c r="W101"/>
      <c r="X101"/>
      <c r="Y101"/>
    </row>
    <row r="102" spans="22:25" x14ac:dyDescent="0.2">
      <c r="V102"/>
      <c r="W102"/>
      <c r="X102"/>
      <c r="Y102"/>
    </row>
    <row r="103" spans="22:25" x14ac:dyDescent="0.2">
      <c r="V103"/>
      <c r="W103"/>
      <c r="X103"/>
      <c r="Y103"/>
    </row>
    <row r="104" spans="22:25" x14ac:dyDescent="0.2">
      <c r="V104"/>
      <c r="W104"/>
      <c r="X104"/>
      <c r="Y104"/>
    </row>
    <row r="105" spans="22:25" x14ac:dyDescent="0.2">
      <c r="V105"/>
      <c r="W105"/>
      <c r="X105"/>
      <c r="Y105"/>
    </row>
    <row r="106" spans="22:25" x14ac:dyDescent="0.2">
      <c r="V106"/>
      <c r="W106"/>
      <c r="X106"/>
      <c r="Y106"/>
    </row>
    <row r="107" spans="22:25" x14ac:dyDescent="0.2">
      <c r="V107"/>
      <c r="W107"/>
      <c r="X107"/>
      <c r="Y107"/>
    </row>
    <row r="108" spans="22:25" x14ac:dyDescent="0.2">
      <c r="V108"/>
      <c r="W108"/>
      <c r="X108"/>
      <c r="Y108"/>
    </row>
    <row r="109" spans="22:25" x14ac:dyDescent="0.2">
      <c r="V109"/>
      <c r="W109"/>
      <c r="X109"/>
      <c r="Y109"/>
    </row>
    <row r="110" spans="22:25" x14ac:dyDescent="0.2">
      <c r="V110"/>
      <c r="W110"/>
      <c r="X110"/>
      <c r="Y110"/>
    </row>
    <row r="111" spans="22:25" x14ac:dyDescent="0.2">
      <c r="V111"/>
      <c r="W111"/>
      <c r="X111"/>
      <c r="Y111"/>
    </row>
    <row r="112" spans="22:25" x14ac:dyDescent="0.2">
      <c r="V112"/>
      <c r="W112"/>
      <c r="X112"/>
      <c r="Y112"/>
    </row>
    <row r="113" spans="19:39" x14ac:dyDescent="0.2">
      <c r="V113"/>
      <c r="W113"/>
      <c r="X113"/>
      <c r="Y113"/>
    </row>
    <row r="114" spans="19:39" x14ac:dyDescent="0.2">
      <c r="V114"/>
      <c r="W114"/>
      <c r="X114"/>
      <c r="Y114"/>
    </row>
    <row r="115" spans="19:39" x14ac:dyDescent="0.2">
      <c r="V115"/>
      <c r="W115"/>
      <c r="X115"/>
      <c r="Y115"/>
    </row>
    <row r="116" spans="19:39" x14ac:dyDescent="0.2">
      <c r="V116"/>
      <c r="W116"/>
      <c r="X116"/>
      <c r="Y116"/>
    </row>
    <row r="117" spans="19:39" x14ac:dyDescent="0.2">
      <c r="V117"/>
      <c r="W117"/>
      <c r="X117"/>
      <c r="Y117"/>
    </row>
    <row r="118" spans="19:39" x14ac:dyDescent="0.2">
      <c r="V118"/>
      <c r="W118"/>
      <c r="X118"/>
      <c r="Y118"/>
    </row>
    <row r="119" spans="19:39" x14ac:dyDescent="0.2">
      <c r="V119"/>
      <c r="W119"/>
      <c r="X119"/>
      <c r="Y119"/>
    </row>
    <row r="120" spans="19:39" x14ac:dyDescent="0.2">
      <c r="V120"/>
      <c r="W120"/>
      <c r="X120"/>
      <c r="Y120"/>
    </row>
    <row r="122" spans="19:39" x14ac:dyDescent="0.2">
      <c r="S122" s="5"/>
      <c r="AH122" s="616"/>
      <c r="AI122" s="616"/>
      <c r="AJ122" s="616"/>
      <c r="AK122" s="616"/>
      <c r="AL122" s="616"/>
      <c r="AM122" s="616"/>
    </row>
    <row r="140" spans="22:25" x14ac:dyDescent="0.2">
      <c r="V140"/>
      <c r="W140"/>
      <c r="X140"/>
      <c r="Y140"/>
    </row>
    <row r="141" spans="22:25" x14ac:dyDescent="0.2">
      <c r="V141"/>
      <c r="W141"/>
      <c r="X141"/>
      <c r="Y141"/>
    </row>
    <row r="142" spans="22:25" x14ac:dyDescent="0.2">
      <c r="V142"/>
      <c r="W142"/>
      <c r="X142"/>
      <c r="Y142"/>
    </row>
    <row r="143" spans="22:25" x14ac:dyDescent="0.2">
      <c r="V143"/>
      <c r="W143"/>
      <c r="X143"/>
      <c r="Y143"/>
    </row>
    <row r="144" spans="22:25" x14ac:dyDescent="0.2">
      <c r="V144"/>
      <c r="W144"/>
      <c r="X144"/>
      <c r="Y144"/>
    </row>
    <row r="145" spans="22:25" x14ac:dyDescent="0.2">
      <c r="V145"/>
      <c r="W145"/>
      <c r="X145"/>
      <c r="Y145"/>
    </row>
    <row r="146" spans="22:25" x14ac:dyDescent="0.2">
      <c r="V146"/>
      <c r="W146"/>
      <c r="X146"/>
      <c r="Y146"/>
    </row>
    <row r="147" spans="22:25" x14ac:dyDescent="0.2">
      <c r="V147"/>
      <c r="W147"/>
      <c r="X147"/>
      <c r="Y147"/>
    </row>
    <row r="148" spans="22:25" x14ac:dyDescent="0.2">
      <c r="V148"/>
      <c r="W148"/>
      <c r="X148"/>
      <c r="Y148"/>
    </row>
    <row r="149" spans="22:25" x14ac:dyDescent="0.2">
      <c r="V149"/>
      <c r="W149"/>
      <c r="X149"/>
      <c r="Y149"/>
    </row>
    <row r="150" spans="22:25" x14ac:dyDescent="0.2">
      <c r="V150"/>
      <c r="W150"/>
      <c r="X150"/>
      <c r="Y150"/>
    </row>
    <row r="151" spans="22:25" x14ac:dyDescent="0.2">
      <c r="V151"/>
      <c r="W151"/>
      <c r="X151"/>
      <c r="Y151"/>
    </row>
    <row r="152" spans="22:25" x14ac:dyDescent="0.2">
      <c r="V152"/>
      <c r="W152"/>
      <c r="X152"/>
      <c r="Y152"/>
    </row>
    <row r="153" spans="22:25" x14ac:dyDescent="0.2">
      <c r="V153"/>
      <c r="W153"/>
      <c r="X153"/>
      <c r="Y153"/>
    </row>
    <row r="154" spans="22:25" x14ac:dyDescent="0.2">
      <c r="V154"/>
      <c r="W154"/>
      <c r="X154"/>
      <c r="Y154"/>
    </row>
    <row r="155" spans="22:25" x14ac:dyDescent="0.2">
      <c r="V155"/>
      <c r="W155"/>
      <c r="X155"/>
      <c r="Y155"/>
    </row>
    <row r="156" spans="22:25" x14ac:dyDescent="0.2">
      <c r="V156"/>
      <c r="W156"/>
      <c r="X156"/>
      <c r="Y156"/>
    </row>
    <row r="157" spans="22:25" x14ac:dyDescent="0.2">
      <c r="V157"/>
      <c r="W157"/>
      <c r="X157"/>
      <c r="Y157"/>
    </row>
    <row r="158" spans="22:25" x14ac:dyDescent="0.2">
      <c r="V158"/>
      <c r="W158"/>
      <c r="X158"/>
      <c r="Y158"/>
    </row>
    <row r="159" spans="22:25" x14ac:dyDescent="0.2">
      <c r="V159"/>
      <c r="W159"/>
      <c r="X159"/>
      <c r="Y159"/>
    </row>
    <row r="160" spans="22:25" x14ac:dyDescent="0.2">
      <c r="V160"/>
      <c r="W160"/>
      <c r="X160"/>
      <c r="Y160"/>
    </row>
    <row r="161" spans="22:25" x14ac:dyDescent="0.2">
      <c r="V161"/>
      <c r="W161"/>
      <c r="X161"/>
      <c r="Y161"/>
    </row>
    <row r="162" spans="22:25" x14ac:dyDescent="0.2">
      <c r="V162"/>
      <c r="W162"/>
      <c r="X162"/>
      <c r="Y162"/>
    </row>
    <row r="163" spans="22:25" x14ac:dyDescent="0.2">
      <c r="V163"/>
      <c r="W163"/>
      <c r="X163"/>
      <c r="Y163"/>
    </row>
    <row r="164" spans="22:25" x14ac:dyDescent="0.2">
      <c r="V164"/>
      <c r="W164"/>
      <c r="X164"/>
      <c r="Y164"/>
    </row>
    <row r="165" spans="22:25" x14ac:dyDescent="0.2">
      <c r="V165"/>
      <c r="W165"/>
      <c r="X165"/>
      <c r="Y165"/>
    </row>
    <row r="166" spans="22:25" x14ac:dyDescent="0.2">
      <c r="V166"/>
      <c r="W166"/>
      <c r="X166"/>
      <c r="Y166"/>
    </row>
    <row r="167" spans="22:25" x14ac:dyDescent="0.2">
      <c r="V167"/>
      <c r="W167"/>
      <c r="X167"/>
      <c r="Y167"/>
    </row>
    <row r="168" spans="22:25" x14ac:dyDescent="0.2">
      <c r="V168"/>
      <c r="W168"/>
      <c r="X168"/>
      <c r="Y168"/>
    </row>
    <row r="169" spans="22:25" x14ac:dyDescent="0.2">
      <c r="V169"/>
      <c r="W169"/>
      <c r="X169"/>
      <c r="Y169"/>
    </row>
    <row r="170" spans="22:25" x14ac:dyDescent="0.2">
      <c r="V170"/>
      <c r="W170"/>
      <c r="X170"/>
      <c r="Y170"/>
    </row>
    <row r="171" spans="22:25" x14ac:dyDescent="0.2">
      <c r="V171"/>
      <c r="W171"/>
      <c r="X171"/>
      <c r="Y171"/>
    </row>
    <row r="172" spans="22:25" x14ac:dyDescent="0.2">
      <c r="V172"/>
      <c r="W172"/>
      <c r="X172"/>
      <c r="Y172"/>
    </row>
    <row r="173" spans="22:25" x14ac:dyDescent="0.2">
      <c r="V173"/>
      <c r="W173"/>
      <c r="X173"/>
      <c r="Y173"/>
    </row>
    <row r="174" spans="22:25" x14ac:dyDescent="0.2">
      <c r="V174"/>
      <c r="W174"/>
      <c r="X174"/>
      <c r="Y174"/>
    </row>
    <row r="175" spans="22:25" x14ac:dyDescent="0.2">
      <c r="V175"/>
      <c r="W175"/>
      <c r="X175"/>
      <c r="Y175"/>
    </row>
    <row r="176" spans="22:25" x14ac:dyDescent="0.2">
      <c r="V176"/>
      <c r="W176"/>
      <c r="X176"/>
      <c r="Y176"/>
    </row>
    <row r="177" spans="22:25" x14ac:dyDescent="0.2">
      <c r="V177"/>
      <c r="W177"/>
      <c r="X177"/>
      <c r="Y177"/>
    </row>
    <row r="178" spans="22:25" x14ac:dyDescent="0.2">
      <c r="V178"/>
      <c r="W178"/>
      <c r="X178"/>
      <c r="Y178"/>
    </row>
    <row r="179" spans="22:25" x14ac:dyDescent="0.2">
      <c r="V179"/>
      <c r="W179"/>
      <c r="X179"/>
      <c r="Y179"/>
    </row>
    <row r="180" spans="22:25" x14ac:dyDescent="0.2">
      <c r="V180"/>
      <c r="W180"/>
      <c r="X180"/>
      <c r="Y180"/>
    </row>
    <row r="181" spans="22:25" x14ac:dyDescent="0.2">
      <c r="V181"/>
      <c r="W181"/>
      <c r="X181"/>
      <c r="Y181"/>
    </row>
    <row r="182" spans="22:25" x14ac:dyDescent="0.2">
      <c r="V182"/>
      <c r="W182"/>
      <c r="X182"/>
      <c r="Y182"/>
    </row>
    <row r="183" spans="22:25" x14ac:dyDescent="0.2">
      <c r="V183"/>
      <c r="W183"/>
      <c r="X183"/>
      <c r="Y183"/>
    </row>
    <row r="184" spans="22:25" x14ac:dyDescent="0.2">
      <c r="V184"/>
      <c r="W184"/>
      <c r="X184"/>
      <c r="Y184"/>
    </row>
    <row r="185" spans="22:25" x14ac:dyDescent="0.2">
      <c r="V185"/>
      <c r="W185"/>
      <c r="X185"/>
      <c r="Y185"/>
    </row>
    <row r="186" spans="22:25" x14ac:dyDescent="0.2">
      <c r="V186"/>
      <c r="W186"/>
      <c r="X186"/>
      <c r="Y186"/>
    </row>
    <row r="187" spans="22:25" x14ac:dyDescent="0.2">
      <c r="V187"/>
      <c r="W187"/>
      <c r="X187"/>
      <c r="Y187"/>
    </row>
    <row r="188" spans="22:25" x14ac:dyDescent="0.2">
      <c r="V188"/>
      <c r="W188"/>
      <c r="X188"/>
      <c r="Y188"/>
    </row>
    <row r="189" spans="22:25" x14ac:dyDescent="0.2">
      <c r="V189"/>
      <c r="W189"/>
      <c r="X189"/>
      <c r="Y189"/>
    </row>
    <row r="190" spans="22:25" x14ac:dyDescent="0.2">
      <c r="V190"/>
      <c r="W190"/>
      <c r="X190"/>
      <c r="Y190"/>
    </row>
    <row r="191" spans="22:25" x14ac:dyDescent="0.2">
      <c r="V191"/>
      <c r="W191"/>
      <c r="X191"/>
      <c r="Y191"/>
    </row>
    <row r="192" spans="22:25" x14ac:dyDescent="0.2">
      <c r="V192"/>
      <c r="W192"/>
      <c r="X192"/>
      <c r="Y192"/>
    </row>
    <row r="193" spans="22:25" x14ac:dyDescent="0.2">
      <c r="V193"/>
      <c r="W193"/>
      <c r="X193"/>
      <c r="Y193"/>
    </row>
    <row r="194" spans="22:25" x14ac:dyDescent="0.2">
      <c r="V194"/>
      <c r="W194"/>
      <c r="X194"/>
      <c r="Y194"/>
    </row>
    <row r="195" spans="22:25" x14ac:dyDescent="0.2">
      <c r="V195"/>
      <c r="W195"/>
      <c r="X195"/>
      <c r="Y195"/>
    </row>
    <row r="196" spans="22:25" x14ac:dyDescent="0.2">
      <c r="V196"/>
      <c r="W196"/>
      <c r="X196"/>
      <c r="Y196"/>
    </row>
    <row r="197" spans="22:25" x14ac:dyDescent="0.2">
      <c r="V197"/>
      <c r="W197"/>
      <c r="X197"/>
      <c r="Y197"/>
    </row>
    <row r="198" spans="22:25" x14ac:dyDescent="0.2">
      <c r="V198"/>
      <c r="W198"/>
      <c r="X198"/>
      <c r="Y198"/>
    </row>
    <row r="199" spans="22:25" x14ac:dyDescent="0.2">
      <c r="V199"/>
      <c r="W199"/>
      <c r="X199"/>
      <c r="Y199"/>
    </row>
    <row r="200" spans="22:25" x14ac:dyDescent="0.2">
      <c r="V200"/>
      <c r="W200"/>
      <c r="X200"/>
      <c r="Y200"/>
    </row>
    <row r="201" spans="22:25" x14ac:dyDescent="0.2">
      <c r="V201"/>
      <c r="W201"/>
      <c r="X201"/>
      <c r="Y201"/>
    </row>
    <row r="202" spans="22:25" x14ac:dyDescent="0.2">
      <c r="V202"/>
      <c r="W202"/>
      <c r="X202"/>
      <c r="Y202"/>
    </row>
    <row r="203" spans="22:25" x14ac:dyDescent="0.2">
      <c r="V203"/>
      <c r="W203"/>
      <c r="X203"/>
      <c r="Y203"/>
    </row>
    <row r="204" spans="22:25" x14ac:dyDescent="0.2">
      <c r="V204"/>
      <c r="W204"/>
      <c r="X204"/>
      <c r="Y204"/>
    </row>
    <row r="205" spans="22:25" x14ac:dyDescent="0.2">
      <c r="V205"/>
      <c r="W205"/>
      <c r="X205"/>
      <c r="Y205"/>
    </row>
    <row r="206" spans="22:25" x14ac:dyDescent="0.2">
      <c r="V206"/>
      <c r="W206"/>
      <c r="X206"/>
      <c r="Y206"/>
    </row>
    <row r="207" spans="22:25" x14ac:dyDescent="0.2">
      <c r="V207"/>
      <c r="W207"/>
      <c r="X207"/>
      <c r="Y207"/>
    </row>
    <row r="208" spans="22:25" x14ac:dyDescent="0.2">
      <c r="V208"/>
      <c r="W208"/>
      <c r="X208"/>
      <c r="Y208"/>
    </row>
    <row r="209" spans="22:25" x14ac:dyDescent="0.2">
      <c r="V209"/>
      <c r="W209"/>
      <c r="X209"/>
      <c r="Y209"/>
    </row>
    <row r="210" spans="22:25" x14ac:dyDescent="0.2">
      <c r="V210"/>
      <c r="W210"/>
      <c r="X210"/>
      <c r="Y210"/>
    </row>
    <row r="211" spans="22:25" x14ac:dyDescent="0.2">
      <c r="V211"/>
      <c r="W211"/>
      <c r="X211"/>
      <c r="Y211"/>
    </row>
    <row r="212" spans="22:25" x14ac:dyDescent="0.2">
      <c r="V212"/>
      <c r="W212"/>
      <c r="X212"/>
      <c r="Y212"/>
    </row>
    <row r="213" spans="22:25" x14ac:dyDescent="0.2">
      <c r="V213"/>
      <c r="W213"/>
      <c r="X213"/>
      <c r="Y213"/>
    </row>
    <row r="214" spans="22:25" x14ac:dyDescent="0.2">
      <c r="V214"/>
      <c r="W214"/>
      <c r="X214"/>
      <c r="Y214"/>
    </row>
    <row r="215" spans="22:25" x14ac:dyDescent="0.2">
      <c r="V215"/>
      <c r="W215"/>
      <c r="X215"/>
      <c r="Y215"/>
    </row>
    <row r="216" spans="22:25" x14ac:dyDescent="0.2">
      <c r="V216"/>
      <c r="W216"/>
      <c r="X216"/>
      <c r="Y216"/>
    </row>
    <row r="217" spans="22:25" x14ac:dyDescent="0.2">
      <c r="V217"/>
      <c r="W217"/>
      <c r="X217"/>
      <c r="Y217"/>
    </row>
    <row r="218" spans="22:25" x14ac:dyDescent="0.2">
      <c r="V218"/>
      <c r="W218"/>
      <c r="X218"/>
      <c r="Y218"/>
    </row>
    <row r="219" spans="22:25" x14ac:dyDescent="0.2">
      <c r="V219"/>
      <c r="W219"/>
      <c r="X219"/>
      <c r="Y219"/>
    </row>
    <row r="220" spans="22:25" x14ac:dyDescent="0.2">
      <c r="V220"/>
      <c r="W220"/>
      <c r="X220"/>
      <c r="Y220"/>
    </row>
    <row r="221" spans="22:25" x14ac:dyDescent="0.2">
      <c r="V221"/>
      <c r="W221"/>
      <c r="X221"/>
      <c r="Y221"/>
    </row>
    <row r="222" spans="22:25" x14ac:dyDescent="0.2">
      <c r="V222"/>
      <c r="W222"/>
      <c r="X222"/>
      <c r="Y222"/>
    </row>
    <row r="223" spans="22:25" x14ac:dyDescent="0.2">
      <c r="V223"/>
      <c r="W223"/>
      <c r="X223"/>
      <c r="Y223"/>
    </row>
    <row r="224" spans="22:25" x14ac:dyDescent="0.2">
      <c r="V224"/>
      <c r="W224"/>
      <c r="X224"/>
      <c r="Y224"/>
    </row>
    <row r="225" spans="22:25" x14ac:dyDescent="0.2">
      <c r="V225"/>
      <c r="W225"/>
      <c r="X225"/>
      <c r="Y225"/>
    </row>
    <row r="226" spans="22:25" x14ac:dyDescent="0.2">
      <c r="V226"/>
      <c r="W226"/>
      <c r="X226"/>
      <c r="Y226"/>
    </row>
    <row r="227" spans="22:25" x14ac:dyDescent="0.2">
      <c r="V227"/>
      <c r="W227"/>
      <c r="X227"/>
      <c r="Y227"/>
    </row>
    <row r="228" spans="22:25" x14ac:dyDescent="0.2">
      <c r="V228"/>
      <c r="W228"/>
      <c r="X228"/>
      <c r="Y228"/>
    </row>
    <row r="229" spans="22:25" x14ac:dyDescent="0.2">
      <c r="V229"/>
      <c r="W229"/>
      <c r="X229"/>
      <c r="Y229"/>
    </row>
    <row r="230" spans="22:25" x14ac:dyDescent="0.2">
      <c r="V230"/>
      <c r="W230"/>
      <c r="X230"/>
      <c r="Y230"/>
    </row>
    <row r="231" spans="22:25" x14ac:dyDescent="0.2">
      <c r="V231"/>
      <c r="W231"/>
      <c r="X231"/>
      <c r="Y231"/>
    </row>
    <row r="232" spans="22:25" x14ac:dyDescent="0.2">
      <c r="V232"/>
      <c r="W232"/>
      <c r="X232"/>
      <c r="Y232"/>
    </row>
    <row r="233" spans="22:25" x14ac:dyDescent="0.2">
      <c r="V233"/>
      <c r="W233"/>
      <c r="X233"/>
      <c r="Y233"/>
    </row>
    <row r="234" spans="22:25" x14ac:dyDescent="0.2">
      <c r="V234"/>
      <c r="W234"/>
      <c r="X234"/>
      <c r="Y234"/>
    </row>
    <row r="235" spans="22:25" x14ac:dyDescent="0.2">
      <c r="V235"/>
      <c r="W235"/>
      <c r="X235"/>
      <c r="Y235"/>
    </row>
    <row r="236" spans="22:25" x14ac:dyDescent="0.2">
      <c r="V236"/>
      <c r="W236"/>
      <c r="X236"/>
      <c r="Y236"/>
    </row>
    <row r="237" spans="22:25" x14ac:dyDescent="0.2">
      <c r="V237"/>
      <c r="W237"/>
      <c r="X237"/>
      <c r="Y237"/>
    </row>
    <row r="238" spans="22:25" x14ac:dyDescent="0.2">
      <c r="V238"/>
      <c r="W238"/>
      <c r="X238"/>
      <c r="Y238"/>
    </row>
    <row r="239" spans="22:25" x14ac:dyDescent="0.2">
      <c r="V239"/>
      <c r="W239"/>
      <c r="X239"/>
      <c r="Y239"/>
    </row>
    <row r="240" spans="22:25" x14ac:dyDescent="0.2">
      <c r="V240"/>
      <c r="W240"/>
      <c r="X240"/>
      <c r="Y240"/>
    </row>
    <row r="241" spans="22:25" x14ac:dyDescent="0.2">
      <c r="V241"/>
      <c r="W241"/>
      <c r="X241"/>
      <c r="Y241"/>
    </row>
    <row r="242" spans="22:25" x14ac:dyDescent="0.2">
      <c r="V242"/>
      <c r="W242"/>
      <c r="X242"/>
      <c r="Y242"/>
    </row>
    <row r="243" spans="22:25" x14ac:dyDescent="0.2">
      <c r="V243"/>
      <c r="W243"/>
      <c r="X243"/>
      <c r="Y243"/>
    </row>
    <row r="244" spans="22:25" x14ac:dyDescent="0.2">
      <c r="V244"/>
      <c r="W244"/>
      <c r="X244"/>
      <c r="Y244"/>
    </row>
    <row r="245" spans="22:25" x14ac:dyDescent="0.2">
      <c r="V245"/>
      <c r="W245"/>
      <c r="X245"/>
      <c r="Y245"/>
    </row>
    <row r="246" spans="22:25" x14ac:dyDescent="0.2">
      <c r="V246"/>
      <c r="W246"/>
      <c r="X246"/>
      <c r="Y246"/>
    </row>
    <row r="247" spans="22:25" x14ac:dyDescent="0.2">
      <c r="V247"/>
      <c r="W247"/>
      <c r="X247"/>
      <c r="Y247"/>
    </row>
    <row r="248" spans="22:25" x14ac:dyDescent="0.2">
      <c r="V248"/>
      <c r="W248"/>
      <c r="X248"/>
      <c r="Y248"/>
    </row>
    <row r="249" spans="22:25" x14ac:dyDescent="0.2">
      <c r="V249"/>
      <c r="W249"/>
      <c r="X249"/>
      <c r="Y249"/>
    </row>
    <row r="250" spans="22:25" x14ac:dyDescent="0.2">
      <c r="V250"/>
      <c r="W250"/>
      <c r="X250"/>
      <c r="Y250"/>
    </row>
    <row r="251" spans="22:25" x14ac:dyDescent="0.2">
      <c r="V251"/>
      <c r="W251"/>
      <c r="X251"/>
      <c r="Y251"/>
    </row>
    <row r="252" spans="22:25" x14ac:dyDescent="0.2">
      <c r="V252"/>
      <c r="W252"/>
      <c r="X252"/>
      <c r="Y252"/>
    </row>
    <row r="253" spans="22:25" x14ac:dyDescent="0.2">
      <c r="V253"/>
      <c r="W253"/>
      <c r="X253"/>
      <c r="Y253"/>
    </row>
  </sheetData>
  <dataValidations count="3">
    <dataValidation type="list" allowBlank="1" showInputMessage="1" showErrorMessage="1" sqref="E21:E29" xr:uid="{00000000-0002-0000-0200-000000000000}">
      <formula1>$AC$4:$AC$7</formula1>
    </dataValidation>
    <dataValidation type="list" allowBlank="1" showInputMessage="1" showErrorMessage="1" sqref="F21" xr:uid="{00000000-0002-0000-0200-000002000000}">
      <formula1>INDIRECT($E$21)</formula1>
    </dataValidation>
    <dataValidation type="list" allowBlank="1" showInputMessage="1" showErrorMessage="1" sqref="F22:F29" xr:uid="{00000000-0002-0000-0200-000003000000}">
      <formula1>INDIRECT(E22)</formula1>
    </dataValidation>
  </dataValidations>
  <pageMargins left="0.25" right="0.25" top="0.75" bottom="0.75" header="0.3" footer="0.3"/>
  <pageSetup scale="57" orientation="landscape" r:id="rId1"/>
  <colBreaks count="1" manualBreakCount="1">
    <brk id="15"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CC"/>
  </sheetPr>
  <dimension ref="A1:AF164"/>
  <sheetViews>
    <sheetView zoomScale="90" zoomScaleNormal="90" workbookViewId="0">
      <selection activeCell="M28" sqref="M28"/>
    </sheetView>
  </sheetViews>
  <sheetFormatPr baseColWidth="10" defaultColWidth="8.83203125" defaultRowHeight="15" x14ac:dyDescent="0.2"/>
  <cols>
    <col min="1" max="1" width="18.1640625" style="237" customWidth="1"/>
    <col min="2" max="2" width="9.1640625" style="237" hidden="1" customWidth="1"/>
    <col min="3" max="3" width="11.83203125" style="237" hidden="1" customWidth="1"/>
    <col min="4" max="4" width="12.33203125" customWidth="1"/>
    <col min="5" max="5" width="25.5" style="290" customWidth="1"/>
    <col min="6" max="6" width="20.5" bestFit="1" customWidth="1"/>
    <col min="7" max="7" width="35.5" bestFit="1" customWidth="1"/>
    <col min="8" max="15" width="12.33203125" customWidth="1"/>
  </cols>
  <sheetData>
    <row r="1" spans="1:32" ht="19" x14ac:dyDescent="0.25">
      <c r="A1" s="3" t="s">
        <v>462</v>
      </c>
      <c r="H1" s="1"/>
      <c r="I1" s="1"/>
    </row>
    <row r="2" spans="1:32" ht="19" x14ac:dyDescent="0.25">
      <c r="A2" s="437"/>
      <c r="H2" s="1"/>
      <c r="I2" s="1"/>
    </row>
    <row r="3" spans="1:32" ht="19" x14ac:dyDescent="0.25">
      <c r="A3" s="343"/>
      <c r="D3" s="3" t="s">
        <v>465</v>
      </c>
      <c r="F3" s="594" t="s">
        <v>466</v>
      </c>
      <c r="H3" s="1"/>
      <c r="I3" s="1"/>
      <c r="T3" t="s">
        <v>427</v>
      </c>
      <c r="U3" s="290"/>
    </row>
    <row r="4" spans="1:32" ht="16.5" customHeight="1" x14ac:dyDescent="0.25">
      <c r="D4" s="3"/>
      <c r="H4" s="1"/>
      <c r="I4" s="1"/>
      <c r="U4" s="290"/>
    </row>
    <row r="5" spans="1:32" x14ac:dyDescent="0.2">
      <c r="A5" s="438"/>
      <c r="H5" s="1"/>
      <c r="I5" s="1"/>
      <c r="T5" s="4" t="s">
        <v>426</v>
      </c>
    </row>
    <row r="6" spans="1:32" ht="19" x14ac:dyDescent="0.25">
      <c r="D6" s="3"/>
      <c r="H6" s="1"/>
      <c r="I6" s="1"/>
      <c r="T6" s="565"/>
      <c r="U6" s="565"/>
      <c r="V6" s="565"/>
      <c r="W6" s="565"/>
      <c r="X6" s="565"/>
      <c r="Y6" s="565"/>
      <c r="Z6" s="565"/>
      <c r="AA6" s="565"/>
      <c r="AB6" s="565"/>
      <c r="AC6" s="565"/>
      <c r="AD6" s="565"/>
      <c r="AE6" s="565"/>
    </row>
    <row r="7" spans="1:32" ht="19" x14ac:dyDescent="0.25">
      <c r="D7" s="3" t="s">
        <v>191</v>
      </c>
      <c r="H7" s="1"/>
      <c r="I7" s="1"/>
      <c r="T7" s="565"/>
      <c r="U7" s="565"/>
      <c r="V7" s="565"/>
      <c r="W7" s="565"/>
      <c r="X7" s="565"/>
      <c r="Y7" s="565"/>
      <c r="Z7" s="565"/>
      <c r="AA7" s="565"/>
      <c r="AB7" s="565"/>
      <c r="AC7" s="565"/>
      <c r="AD7" s="565"/>
      <c r="AE7" s="565"/>
    </row>
    <row r="8" spans="1:32" s="4" customFormat="1" x14ac:dyDescent="0.2">
      <c r="A8" s="343"/>
      <c r="B8" s="343"/>
      <c r="C8" s="343"/>
      <c r="D8" s="344"/>
      <c r="E8" s="345"/>
      <c r="F8" s="346"/>
      <c r="G8" s="346"/>
      <c r="H8" s="347"/>
      <c r="I8" s="347"/>
      <c r="J8" s="413" t="s">
        <v>437</v>
      </c>
      <c r="K8" s="412"/>
      <c r="L8" s="593" t="s">
        <v>475</v>
      </c>
      <c r="M8" s="346"/>
      <c r="N8" s="710" t="s">
        <v>189</v>
      </c>
      <c r="O8" s="711"/>
      <c r="T8" s="565"/>
      <c r="U8" s="565"/>
      <c r="V8" s="565"/>
      <c r="W8" s="565"/>
      <c r="X8" s="565"/>
      <c r="Y8" s="565"/>
      <c r="Z8" s="565"/>
      <c r="AA8" s="565"/>
      <c r="AB8" s="565"/>
      <c r="AC8" s="565"/>
      <c r="AD8" s="565"/>
      <c r="AE8" s="565"/>
      <c r="AF8"/>
    </row>
    <row r="9" spans="1:32" s="4" customFormat="1" ht="32" x14ac:dyDescent="0.2">
      <c r="A9" s="343"/>
      <c r="B9" s="343"/>
      <c r="C9" s="343"/>
      <c r="D9" s="352" t="s">
        <v>376</v>
      </c>
      <c r="E9" s="353" t="s">
        <v>32</v>
      </c>
      <c r="F9" s="354" t="s">
        <v>144</v>
      </c>
      <c r="G9" s="354" t="s">
        <v>3</v>
      </c>
      <c r="H9" s="354" t="s">
        <v>0</v>
      </c>
      <c r="I9" s="354" t="s">
        <v>385</v>
      </c>
      <c r="J9" s="352" t="s">
        <v>159</v>
      </c>
      <c r="K9" s="354" t="s">
        <v>160</v>
      </c>
      <c r="L9" s="354" t="s">
        <v>386</v>
      </c>
      <c r="M9" s="352" t="s">
        <v>379</v>
      </c>
      <c r="N9" s="352" t="s">
        <v>159</v>
      </c>
      <c r="O9" s="355" t="s">
        <v>384</v>
      </c>
      <c r="T9" s="565"/>
      <c r="U9" s="565"/>
      <c r="V9" s="565"/>
      <c r="W9" s="565"/>
      <c r="X9" s="565"/>
      <c r="Y9" s="565"/>
      <c r="Z9" s="565"/>
      <c r="AA9" s="565"/>
      <c r="AB9" s="565"/>
      <c r="AC9" s="565"/>
      <c r="AD9" s="565"/>
      <c r="AE9" s="565"/>
      <c r="AF9"/>
    </row>
    <row r="10" spans="1:32" ht="16" x14ac:dyDescent="0.2">
      <c r="D10" s="243"/>
      <c r="E10" s="244" t="s">
        <v>214</v>
      </c>
      <c r="F10" s="245"/>
      <c r="G10" s="246"/>
      <c r="H10" s="247"/>
      <c r="I10" s="247"/>
      <c r="J10" s="248"/>
      <c r="K10" s="245"/>
      <c r="L10" s="245"/>
      <c r="M10" s="248"/>
      <c r="N10" s="248"/>
      <c r="O10" s="249"/>
      <c r="T10" s="565"/>
      <c r="U10" s="565"/>
      <c r="V10" s="565"/>
      <c r="W10" s="565"/>
      <c r="X10" s="565"/>
      <c r="Y10" s="565"/>
      <c r="Z10" s="565"/>
      <c r="AA10" s="565"/>
      <c r="AB10" s="565"/>
      <c r="AC10" s="565"/>
      <c r="AD10" s="565"/>
      <c r="AE10" s="565"/>
    </row>
    <row r="11" spans="1:32" x14ac:dyDescent="0.2">
      <c r="B11" s="237">
        <f>IF(H11="","",D11)</f>
        <v>1</v>
      </c>
      <c r="D11" s="189">
        <v>1</v>
      </c>
      <c r="E11" s="294" t="str">
        <f>IF(H11="","",VLOOKUP(H11,'ETF List'!$C$3:$J$90,4,FALSE))</f>
        <v>Bonds</v>
      </c>
      <c r="F11" s="292" t="str">
        <f>IF(H11="","",VLOOKUP(H11,'ETF List'!$C$3:$J$90,5,FALSE))</f>
        <v>Sovereigns</v>
      </c>
      <c r="G11" s="292" t="str">
        <f>IF(H11="","",VLOOKUP(H11,'ETF List'!$C$3:$J$90,6,FALSE))</f>
        <v>Government</v>
      </c>
      <c r="H11" s="238" t="str">
        <f>IF('Policy Portfolio'!H21="","",'Policy Portfolio'!H21)</f>
        <v>BWX</v>
      </c>
      <c r="I11" s="334">
        <f>IF(H11="","",VLOOKUP(H11,'Weekly  Sum'!$B$49:$I$77,8,FALSE))</f>
        <v>0.24420221076302531</v>
      </c>
      <c r="J11" s="537">
        <v>5.6099999999999997E-2</v>
      </c>
      <c r="K11" s="534">
        <v>3.5799999999999998E-2</v>
      </c>
      <c r="L11" s="535">
        <v>1.083</v>
      </c>
      <c r="M11" s="533">
        <v>6.5000000000000002E-2</v>
      </c>
      <c r="N11" s="195">
        <f>IF(H11="","",VLOOKUP(H11,'Port Returns'!$C$176:$I$206,7,FALSE))</f>
        <v>-2.0263424518743123E-3</v>
      </c>
      <c r="O11" s="439">
        <f>IF(N11="","",IF(ISERROR((1+N11)^(52/5)-1),"",(1+N11)^(52/5))-1)</f>
        <v>-2.0874391594788877E-2</v>
      </c>
      <c r="T11" s="565"/>
      <c r="U11" s="565"/>
      <c r="V11" s="565"/>
      <c r="W11" s="565"/>
      <c r="X11" s="565"/>
      <c r="Y11" s="565"/>
      <c r="Z11" s="565"/>
      <c r="AA11" s="565"/>
      <c r="AB11" s="565"/>
      <c r="AC11" s="565"/>
      <c r="AD11" s="565"/>
      <c r="AE11" s="565"/>
    </row>
    <row r="12" spans="1:32" x14ac:dyDescent="0.2">
      <c r="B12" s="237">
        <f t="shared" ref="B12:B19" si="0">IF(H12="","",D12)</f>
        <v>2</v>
      </c>
      <c r="D12" s="190">
        <v>2</v>
      </c>
      <c r="E12" s="291" t="str">
        <f>IF(H12="","",VLOOKUP(H12,'ETF List'!$C$3:$J$90,4,FALSE))</f>
        <v>US Equity</v>
      </c>
      <c r="F12" s="60" t="str">
        <f>IF(H12="","",VLOOKUP(H12,'ETF List'!$C$3:$J$90,5,FALSE))</f>
        <v>Broad Mrkt</v>
      </c>
      <c r="G12" s="60" t="str">
        <f>IF(H12="","",VLOOKUP(H12,'ETF List'!$C$3:$J$90,6,FALSE))</f>
        <v>Broad Mrkt</v>
      </c>
      <c r="H12" s="239" t="str">
        <f>IF('Policy Portfolio'!H22="","",'Policy Portfolio'!H22)</f>
        <v>VTI</v>
      </c>
      <c r="I12" s="335">
        <f>IF(H12="","",VLOOKUP(H12,'Weekly  Sum'!$B$49:$I$77,8,FALSE))</f>
        <v>0.16754611272042105</v>
      </c>
      <c r="J12" s="537">
        <v>7.7399999999999997E-2</v>
      </c>
      <c r="K12" s="538">
        <v>0.1555</v>
      </c>
      <c r="L12" s="539">
        <v>0.47099999999999997</v>
      </c>
      <c r="M12" s="537">
        <v>8.4000000000000005E-2</v>
      </c>
      <c r="N12" s="197">
        <f>IF(H12="","",VLOOKUP(H12,'Port Returns'!$C$176:$I$206,7,FALSE))</f>
        <v>5.2175727952787562E-2</v>
      </c>
      <c r="O12" s="440">
        <f t="shared" ref="O12:O19" si="1">IF(N12="","",IF(ISERROR((1+N12)^(52/5)-1),"",(1+N12)^(52/5))-1)</f>
        <v>0.69714169194816389</v>
      </c>
      <c r="T12" s="565"/>
      <c r="U12" s="565"/>
      <c r="V12" s="565"/>
      <c r="W12" s="565"/>
      <c r="X12" s="565"/>
      <c r="Y12" s="565"/>
      <c r="Z12" s="565"/>
      <c r="AA12" s="565"/>
      <c r="AB12" s="565"/>
      <c r="AC12" s="565"/>
      <c r="AD12" s="565"/>
      <c r="AE12" s="565"/>
    </row>
    <row r="13" spans="1:32" x14ac:dyDescent="0.2">
      <c r="B13" s="237">
        <f t="shared" si="0"/>
        <v>3</v>
      </c>
      <c r="D13" s="190">
        <v>3</v>
      </c>
      <c r="E13" s="291" t="str">
        <f>IF(H13="","",VLOOKUP(H13,'ETF List'!$C$3:$J$90,4,FALSE))</f>
        <v>Alternatives</v>
      </c>
      <c r="F13" s="60" t="str">
        <f>IF(H13="","",VLOOKUP(H13,'ETF List'!$C$3:$J$90,5,FALSE))</f>
        <v>Commodity</v>
      </c>
      <c r="G13" s="60" t="str">
        <f>IF(H13="","",VLOOKUP(H13,'ETF List'!$C$3:$J$90,6,FALSE))</f>
        <v>Gold</v>
      </c>
      <c r="H13" s="239" t="str">
        <f>IF('Policy Portfolio'!H23="","",'Policy Portfolio'!H23)</f>
        <v>IAU</v>
      </c>
      <c r="I13" s="335">
        <f>IF(H13="","",VLOOKUP(H13,'Weekly  Sum'!$B$49:$I$77,8,FALSE))</f>
        <v>0.28365648719183773</v>
      </c>
      <c r="J13" s="696">
        <v>8.9700000000000002E-2</v>
      </c>
      <c r="K13" s="538">
        <v>0.16650000000000001</v>
      </c>
      <c r="L13" s="539">
        <v>0.47</v>
      </c>
      <c r="M13" s="537">
        <v>0.1</v>
      </c>
      <c r="N13" s="197">
        <f>IF(H13="","",VLOOKUP(H13,'Port Returns'!$C$176:$I$206,7,FALSE))</f>
        <v>2.6576019777502971E-2</v>
      </c>
      <c r="O13" s="440">
        <f t="shared" si="1"/>
        <v>0.31361348421326363</v>
      </c>
      <c r="T13" s="565"/>
      <c r="U13" s="565"/>
      <c r="V13" s="565"/>
      <c r="W13" s="565"/>
      <c r="X13" s="565"/>
      <c r="Y13" s="565"/>
      <c r="Z13" s="565"/>
      <c r="AA13" s="565"/>
      <c r="AB13" s="565"/>
      <c r="AC13" s="565"/>
      <c r="AD13" s="565"/>
      <c r="AE13" s="565"/>
    </row>
    <row r="14" spans="1:32" x14ac:dyDescent="0.2">
      <c r="B14" s="237" t="str">
        <f t="shared" si="0"/>
        <v/>
      </c>
      <c r="D14" s="190">
        <v>4</v>
      </c>
      <c r="E14" s="291" t="str">
        <f>IF(H14="","",VLOOKUP(H14,'ETF List'!$C$3:$J$90,4,FALSE))</f>
        <v/>
      </c>
      <c r="F14" s="60" t="str">
        <f>IF(H14="","",VLOOKUP(H14,'ETF List'!$C$3:$J$90,5,FALSE))</f>
        <v/>
      </c>
      <c r="G14" s="60" t="str">
        <f>IF(H14="","",VLOOKUP(H14,'ETF List'!$C$3:$J$90,6,FALSE))</f>
        <v/>
      </c>
      <c r="H14" s="239" t="str">
        <f>IF('Policy Portfolio'!H24="","",'Policy Portfolio'!H24)</f>
        <v/>
      </c>
      <c r="I14" s="335" t="str">
        <f>IF(H14="","",VLOOKUP(H14,'Weekly  Sum'!$B$49:$I$77,8,FALSE))</f>
        <v/>
      </c>
      <c r="J14" s="537"/>
      <c r="K14" s="538"/>
      <c r="L14" s="539"/>
      <c r="M14" s="540"/>
      <c r="N14" s="197" t="str">
        <f>IF(H14="","",VLOOKUP(H14,'Port Returns'!$C$176:$I$206,7,FALSE))</f>
        <v/>
      </c>
      <c r="O14" s="440" t="str">
        <f t="shared" si="1"/>
        <v/>
      </c>
      <c r="T14" s="565"/>
      <c r="U14" s="565"/>
      <c r="V14" s="565"/>
      <c r="W14" s="565"/>
      <c r="X14" s="565"/>
      <c r="Y14" s="565"/>
      <c r="Z14" s="565"/>
      <c r="AA14" s="565"/>
      <c r="AB14" s="565"/>
      <c r="AC14" s="565"/>
      <c r="AD14" s="565"/>
      <c r="AE14" s="565"/>
    </row>
    <row r="15" spans="1:32" x14ac:dyDescent="0.2">
      <c r="B15" s="237" t="str">
        <f t="shared" si="0"/>
        <v/>
      </c>
      <c r="D15" s="190">
        <v>5</v>
      </c>
      <c r="E15" s="291" t="str">
        <f>IF(H15="","",VLOOKUP(H15,'ETF List'!$C$3:$J$90,4,FALSE))</f>
        <v/>
      </c>
      <c r="F15" s="60" t="str">
        <f>IF(H15="","",VLOOKUP(H15,'ETF List'!$C$3:$J$90,5,FALSE))</f>
        <v/>
      </c>
      <c r="G15" s="60" t="str">
        <f>IF(H15="","",VLOOKUP(H15,'ETF List'!$C$3:$J$90,6,FALSE))</f>
        <v/>
      </c>
      <c r="H15" s="239" t="str">
        <f>IF('Policy Portfolio'!H25="","",'Policy Portfolio'!H25)</f>
        <v/>
      </c>
      <c r="I15" s="335" t="str">
        <f>IF(H15="","",VLOOKUP(H15,'Weekly  Sum'!$B$49:$I$77,8,FALSE))</f>
        <v/>
      </c>
      <c r="J15" s="537"/>
      <c r="K15" s="538"/>
      <c r="L15" s="539"/>
      <c r="M15" s="540"/>
      <c r="N15" s="197" t="str">
        <f>IF(H15="","",VLOOKUP(H15,'Port Returns'!$C$176:$I$206,7,FALSE))</f>
        <v/>
      </c>
      <c r="O15" s="440" t="str">
        <f t="shared" si="1"/>
        <v/>
      </c>
      <c r="T15" s="565"/>
      <c r="U15" s="565"/>
      <c r="V15" s="565"/>
      <c r="W15" s="565"/>
      <c r="X15" s="565"/>
      <c r="Y15" s="565"/>
      <c r="Z15" s="565"/>
      <c r="AA15" s="565"/>
      <c r="AB15" s="565"/>
      <c r="AC15" s="565"/>
      <c r="AD15" s="565"/>
      <c r="AE15" s="565"/>
    </row>
    <row r="16" spans="1:32" x14ac:dyDescent="0.2">
      <c r="B16" s="237" t="str">
        <f t="shared" si="0"/>
        <v/>
      </c>
      <c r="D16" s="190">
        <v>6</v>
      </c>
      <c r="E16" s="291" t="str">
        <f>IF(H16="","",VLOOKUP(H16,'ETF List'!$C$3:$J$90,4,FALSE))</f>
        <v/>
      </c>
      <c r="F16" s="60" t="str">
        <f>IF(H16="","",VLOOKUP(H16,'ETF List'!$C$3:$J$90,5,FALSE))</f>
        <v/>
      </c>
      <c r="G16" s="60" t="str">
        <f>IF(H16="","",VLOOKUP(H16,'ETF List'!$C$3:$J$90,6,FALSE))</f>
        <v/>
      </c>
      <c r="H16" s="239" t="str">
        <f>IF('Policy Portfolio'!H26="","",'Policy Portfolio'!H26)</f>
        <v/>
      </c>
      <c r="I16" s="335" t="str">
        <f>IF(H16="","",VLOOKUP(H16,'Weekly  Sum'!$B$49:$I$77,8,FALSE))</f>
        <v/>
      </c>
      <c r="J16" s="537"/>
      <c r="K16" s="538"/>
      <c r="L16" s="539"/>
      <c r="M16" s="540"/>
      <c r="N16" s="197" t="str">
        <f>IF(H16="","",VLOOKUP(H16,'Port Returns'!$C$176:$I$206,7,FALSE))</f>
        <v/>
      </c>
      <c r="O16" s="440" t="str">
        <f t="shared" si="1"/>
        <v/>
      </c>
      <c r="T16" s="565"/>
      <c r="U16" s="565"/>
      <c r="V16" s="565"/>
      <c r="W16" s="565"/>
      <c r="X16" s="565"/>
      <c r="Y16" s="565"/>
      <c r="Z16" s="565"/>
      <c r="AA16" s="565"/>
      <c r="AB16" s="565"/>
      <c r="AC16" s="565"/>
      <c r="AD16" s="565"/>
      <c r="AE16" s="565"/>
    </row>
    <row r="17" spans="1:32" x14ac:dyDescent="0.2">
      <c r="B17" s="237" t="str">
        <f t="shared" si="0"/>
        <v/>
      </c>
      <c r="D17" s="190">
        <v>7</v>
      </c>
      <c r="E17" s="291" t="str">
        <f>IF(H17="","",VLOOKUP(H17,'ETF List'!$C$3:$J$90,4,FALSE))</f>
        <v/>
      </c>
      <c r="F17" s="60" t="str">
        <f>IF(H17="","",VLOOKUP(H17,'ETF List'!$C$3:$J$90,5,FALSE))</f>
        <v/>
      </c>
      <c r="G17" s="60" t="str">
        <f>IF(H17="","",VLOOKUP(H17,'ETF List'!$C$3:$J$90,6,FALSE))</f>
        <v/>
      </c>
      <c r="H17" s="239" t="str">
        <f>IF('Policy Portfolio'!H27="","",'Policy Portfolio'!H27)</f>
        <v/>
      </c>
      <c r="I17" s="335" t="str">
        <f>IF(H17="","",VLOOKUP(H17,'Weekly  Sum'!$B$49:$I$77,8,FALSE))</f>
        <v/>
      </c>
      <c r="J17" s="537"/>
      <c r="K17" s="538"/>
      <c r="L17" s="539"/>
      <c r="M17" s="540"/>
      <c r="N17" s="197" t="str">
        <f>IF(H17="","",VLOOKUP(H17,'Port Returns'!$C$176:$I$206,7,FALSE))</f>
        <v/>
      </c>
      <c r="O17" s="440" t="str">
        <f t="shared" si="1"/>
        <v/>
      </c>
      <c r="T17" s="565"/>
      <c r="U17" s="565"/>
      <c r="V17" s="565"/>
      <c r="W17" s="565"/>
      <c r="X17" s="565"/>
      <c r="Y17" s="565"/>
      <c r="Z17" s="565"/>
      <c r="AA17" s="565"/>
      <c r="AB17" s="565"/>
      <c r="AC17" s="565"/>
      <c r="AD17" s="565"/>
      <c r="AE17" s="565"/>
    </row>
    <row r="18" spans="1:32" x14ac:dyDescent="0.2">
      <c r="B18" s="237" t="str">
        <f t="shared" si="0"/>
        <v/>
      </c>
      <c r="D18" s="190">
        <v>8</v>
      </c>
      <c r="E18" s="291" t="str">
        <f>IF(H18="","",VLOOKUP(H18,'ETF List'!$C$3:$J$90,4,FALSE))</f>
        <v/>
      </c>
      <c r="F18" s="60" t="str">
        <f>IF(H18="","",VLOOKUP(H18,'ETF List'!$C$3:$J$90,5,FALSE))</f>
        <v/>
      </c>
      <c r="G18" s="60" t="str">
        <f>IF(H18="","",VLOOKUP(H18,'ETF List'!$C$3:$J$90,6,FALSE))</f>
        <v/>
      </c>
      <c r="H18" s="239" t="str">
        <f>IF('Policy Portfolio'!H28="","",'Policy Portfolio'!H28)</f>
        <v/>
      </c>
      <c r="I18" s="335" t="str">
        <f>IF(H18="","",VLOOKUP(H18,'Weekly  Sum'!$B$49:$I$77,8,FALSE))</f>
        <v/>
      </c>
      <c r="J18" s="537"/>
      <c r="K18" s="538"/>
      <c r="L18" s="539"/>
      <c r="M18" s="540"/>
      <c r="N18" s="197" t="str">
        <f>IF(H18="","",VLOOKUP(H18,'Port Returns'!$C$176:$I$206,7,FALSE))</f>
        <v/>
      </c>
      <c r="O18" s="440" t="str">
        <f t="shared" si="1"/>
        <v/>
      </c>
      <c r="T18" s="565"/>
      <c r="U18" s="565"/>
      <c r="V18" s="565"/>
      <c r="W18" s="565"/>
      <c r="X18" s="565"/>
      <c r="Y18" s="565"/>
      <c r="Z18" s="565"/>
      <c r="AA18" s="565"/>
      <c r="AB18" s="565"/>
      <c r="AC18" s="565"/>
      <c r="AD18" s="565"/>
      <c r="AE18" s="565"/>
    </row>
    <row r="19" spans="1:32" x14ac:dyDescent="0.2">
      <c r="B19" s="237" t="str">
        <f t="shared" si="0"/>
        <v/>
      </c>
      <c r="D19" s="192">
        <v>9</v>
      </c>
      <c r="E19" s="295" t="str">
        <f>IF(H19="","",VLOOKUP(H19,'ETF List'!$C$3:$J$90,4,FALSE))</f>
        <v/>
      </c>
      <c r="F19" s="293" t="str">
        <f>IF(H19="","",VLOOKUP(H19,'ETF List'!$C$3:$J$90,5,FALSE))</f>
        <v/>
      </c>
      <c r="G19" s="293" t="str">
        <f>IF(H19="","",VLOOKUP(H19,'ETF List'!$C$3:$J$90,6,FALSE))</f>
        <v/>
      </c>
      <c r="H19" s="240" t="str">
        <f>IF('Policy Portfolio'!H29="","",'Policy Portfolio'!H29)</f>
        <v/>
      </c>
      <c r="I19" s="336" t="str">
        <f>IF(H19="","",VLOOKUP(H19,'Weekly  Sum'!$B$49:$I$77,8,FALSE))</f>
        <v/>
      </c>
      <c r="J19" s="541"/>
      <c r="K19" s="542"/>
      <c r="L19" s="543"/>
      <c r="M19" s="544"/>
      <c r="N19" s="441" t="str">
        <f>IF(H19="","",VLOOKUP(H19,'Port Returns'!$C$176:$I$206,7,FALSE))</f>
        <v/>
      </c>
      <c r="O19" s="442" t="str">
        <f t="shared" si="1"/>
        <v/>
      </c>
      <c r="T19" s="565"/>
      <c r="U19" s="565"/>
      <c r="V19" s="565"/>
      <c r="W19" s="565"/>
      <c r="X19" s="565"/>
      <c r="Y19" s="565"/>
      <c r="Z19" s="565"/>
      <c r="AA19" s="565"/>
      <c r="AB19" s="565"/>
      <c r="AC19" s="565"/>
      <c r="AD19" s="565"/>
      <c r="AE19" s="565"/>
    </row>
    <row r="20" spans="1:32" ht="19" x14ac:dyDescent="0.25">
      <c r="C20" s="237" t="str">
        <f>IF('Policy Portfolio'!F20="","",'Policy Portfolio'!E20)</f>
        <v>Cash</v>
      </c>
      <c r="D20" s="3"/>
      <c r="H20" s="1"/>
      <c r="I20" s="410"/>
      <c r="T20" s="565"/>
      <c r="U20" s="565"/>
      <c r="V20" s="565"/>
      <c r="W20" s="565"/>
      <c r="X20" s="565"/>
      <c r="Y20" s="565"/>
      <c r="Z20" s="565"/>
      <c r="AA20" s="565"/>
      <c r="AB20" s="565"/>
      <c r="AC20" s="565"/>
      <c r="AD20" s="565"/>
      <c r="AE20" s="565"/>
    </row>
    <row r="21" spans="1:32" ht="19" x14ac:dyDescent="0.25">
      <c r="C21" s="237" t="str">
        <f>IF('Policy Portfolio'!F21="","",'Policy Portfolio'!E21)</f>
        <v>Bonds</v>
      </c>
      <c r="D21" s="3"/>
      <c r="H21" s="1"/>
      <c r="I21" s="1"/>
      <c r="T21" s="565"/>
      <c r="U21" s="565"/>
      <c r="V21" s="565"/>
      <c r="W21" s="565"/>
      <c r="X21" s="565"/>
      <c r="Y21" s="565"/>
      <c r="Z21" s="565"/>
      <c r="AA21" s="565"/>
      <c r="AB21" s="565"/>
      <c r="AC21" s="565"/>
      <c r="AD21" s="565"/>
      <c r="AE21" s="565"/>
    </row>
    <row r="22" spans="1:32" ht="19" x14ac:dyDescent="0.25">
      <c r="C22" s="237" t="str">
        <f>IF('Policy Portfolio'!F22="","",'Policy Portfolio'!E22)</f>
        <v>US_Equity</v>
      </c>
      <c r="D22" s="3"/>
      <c r="H22" s="1"/>
      <c r="I22" s="1"/>
      <c r="T22" s="565"/>
      <c r="U22" s="565"/>
      <c r="V22" s="565"/>
      <c r="W22" s="565"/>
      <c r="X22" s="565"/>
      <c r="Y22" s="565"/>
      <c r="Z22" s="565"/>
      <c r="AA22" s="565"/>
      <c r="AB22" s="565"/>
      <c r="AC22" s="565"/>
      <c r="AD22" s="565"/>
      <c r="AE22" s="565"/>
    </row>
    <row r="23" spans="1:32" ht="19" x14ac:dyDescent="0.25">
      <c r="C23" s="237" t="str">
        <f>IF('Policy Portfolio'!F23="","",'Policy Portfolio'!E23)</f>
        <v>Alternatives</v>
      </c>
      <c r="D23" s="3" t="s">
        <v>407</v>
      </c>
      <c r="H23" s="1"/>
      <c r="I23" s="1"/>
      <c r="T23" s="565"/>
      <c r="U23" s="565"/>
      <c r="V23" s="565"/>
      <c r="W23" s="565"/>
      <c r="X23" s="565"/>
      <c r="Y23" s="565"/>
      <c r="Z23" s="565"/>
      <c r="AA23" s="565"/>
      <c r="AB23" s="565"/>
      <c r="AC23" s="565"/>
      <c r="AD23" s="565"/>
      <c r="AE23" s="565"/>
    </row>
    <row r="24" spans="1:32" s="4" customFormat="1" x14ac:dyDescent="0.2">
      <c r="A24" s="343"/>
      <c r="B24" s="343"/>
      <c r="C24" s="343" t="str">
        <f>IF('Policy Portfolio'!F24="","",'Policy Portfolio'!E24)</f>
        <v/>
      </c>
      <c r="D24" s="344"/>
      <c r="E24" s="345"/>
      <c r="F24" s="346"/>
      <c r="G24" s="346"/>
      <c r="H24" s="347"/>
      <c r="I24" s="347"/>
      <c r="J24" s="413" t="s">
        <v>437</v>
      </c>
      <c r="K24" s="412"/>
      <c r="L24" s="593" t="s">
        <v>475</v>
      </c>
      <c r="M24" s="346"/>
      <c r="N24" s="710" t="s">
        <v>189</v>
      </c>
      <c r="O24" s="711"/>
      <c r="T24" s="565"/>
      <c r="U24" s="565"/>
      <c r="V24" s="565"/>
      <c r="W24" s="565"/>
      <c r="X24" s="565"/>
      <c r="Y24" s="565"/>
      <c r="Z24" s="565"/>
      <c r="AA24" s="565"/>
      <c r="AB24" s="565"/>
      <c r="AC24" s="565"/>
      <c r="AD24" s="565"/>
      <c r="AE24" s="565"/>
      <c r="AF24"/>
    </row>
    <row r="25" spans="1:32" s="4" customFormat="1" ht="32" x14ac:dyDescent="0.2">
      <c r="A25" s="343"/>
      <c r="B25" s="343"/>
      <c r="C25" s="343" t="str">
        <f>IF('Policy Portfolio'!F25="","",'Policy Portfolio'!E25)</f>
        <v/>
      </c>
      <c r="D25" s="348" t="s">
        <v>376</v>
      </c>
      <c r="E25" s="349" t="s">
        <v>32</v>
      </c>
      <c r="F25" s="350" t="s">
        <v>144</v>
      </c>
      <c r="G25" s="350" t="s">
        <v>3</v>
      </c>
      <c r="H25" s="350" t="s">
        <v>0</v>
      </c>
      <c r="I25" s="350" t="s">
        <v>385</v>
      </c>
      <c r="J25" s="348" t="s">
        <v>159</v>
      </c>
      <c r="K25" s="354" t="s">
        <v>160</v>
      </c>
      <c r="L25" s="350" t="s">
        <v>386</v>
      </c>
      <c r="M25" s="348" t="s">
        <v>379</v>
      </c>
      <c r="N25" s="348" t="s">
        <v>159</v>
      </c>
      <c r="O25" s="351" t="s">
        <v>384</v>
      </c>
      <c r="T25" s="565"/>
      <c r="U25" s="565"/>
      <c r="V25" s="565"/>
      <c r="W25" s="565"/>
      <c r="X25" s="565"/>
      <c r="Y25" s="565"/>
      <c r="Z25" s="565"/>
      <c r="AA25" s="565"/>
      <c r="AB25" s="565"/>
      <c r="AC25" s="565"/>
      <c r="AD25" s="565"/>
      <c r="AE25" s="565"/>
      <c r="AF25"/>
    </row>
    <row r="26" spans="1:32" ht="16" x14ac:dyDescent="0.2">
      <c r="D26" s="243"/>
      <c r="E26" s="244" t="s">
        <v>214</v>
      </c>
      <c r="F26" s="245"/>
      <c r="G26" s="246"/>
      <c r="H26" s="301"/>
      <c r="I26" s="244"/>
      <c r="J26" s="301"/>
      <c r="K26" s="244"/>
      <c r="L26" s="301"/>
      <c r="M26" s="244"/>
      <c r="N26" s="301"/>
      <c r="O26" s="302"/>
      <c r="T26" s="565"/>
      <c r="U26" s="565"/>
      <c r="V26" s="565"/>
      <c r="W26" s="565"/>
      <c r="X26" s="565"/>
      <c r="Y26" s="565"/>
      <c r="Z26" s="565"/>
      <c r="AA26" s="565"/>
      <c r="AB26" s="565"/>
      <c r="AC26" s="565"/>
      <c r="AD26" s="565"/>
      <c r="AE26" s="565"/>
    </row>
    <row r="27" spans="1:32" x14ac:dyDescent="0.2">
      <c r="B27" s="237">
        <f>MAX('Policy Portfolio'!$B$21:$B$29)+1</f>
        <v>4</v>
      </c>
      <c r="D27" s="189">
        <v>1</v>
      </c>
      <c r="E27" s="292" t="str">
        <f>IF($H27="","",VLOOKUP($H27,'ETF List'!$C$1:$J$100,4,FALSE))</f>
        <v>Intl Equity</v>
      </c>
      <c r="F27" s="333" t="str">
        <f>IF($H27="","",VLOOKUP($H27,'ETF List'!$C$1:$J$100,5,FALSE))</f>
        <v>Developed Mrkts</v>
      </c>
      <c r="G27" s="333" t="str">
        <f>IF($H27="","",VLOOKUP($H27,'ETF List'!$C$1:$J$100,6,FALSE))</f>
        <v>European Stocks</v>
      </c>
      <c r="H27" s="238" t="str">
        <f>IF('Price Inputs'!C20="","",'Price Inputs'!C20)</f>
        <v>EZU</v>
      </c>
      <c r="I27" s="334">
        <f>IF(H27="","",VLOOKUP(H27,'Weekly  Sum'!$B$49:$I$77,8,FALSE))</f>
        <v>0.12973726210516834</v>
      </c>
      <c r="J27" s="533">
        <v>4.3799999999999999E-2</v>
      </c>
      <c r="K27" s="534">
        <v>0.18459999999999999</v>
      </c>
      <c r="L27" s="535">
        <v>0.24099999999999999</v>
      </c>
      <c r="M27" s="536">
        <v>9.2999999999999999E-2</v>
      </c>
      <c r="N27" s="589">
        <f>IF(H27="","",VLOOKUP(H27,'Port Returns'!$C$176:$I$206,7,FALSE))</f>
        <v>2.4145299145299139E-2</v>
      </c>
      <c r="O27" s="439">
        <f>IF(N27="","",IF(ISERROR((1+N27)^(52/5)-1),"",(1+N27)^(52/5))-1)</f>
        <v>0.28162328591799279</v>
      </c>
      <c r="T27" s="565"/>
      <c r="U27" s="565"/>
      <c r="V27" s="565"/>
      <c r="W27" s="565"/>
      <c r="X27" s="565"/>
      <c r="Y27" s="565"/>
      <c r="Z27" s="565"/>
      <c r="AA27" s="565"/>
      <c r="AB27" s="565"/>
      <c r="AC27" s="565"/>
      <c r="AD27" s="565"/>
      <c r="AE27" s="565"/>
    </row>
    <row r="28" spans="1:32" x14ac:dyDescent="0.2">
      <c r="B28" s="237">
        <f t="shared" ref="B28:B54" si="2">B27+1</f>
        <v>5</v>
      </c>
      <c r="D28" s="190">
        <v>2</v>
      </c>
      <c r="E28" s="60" t="str">
        <f>IF($H28="","",VLOOKUP($H28,'ETF List'!$C$1:$J$100,4,FALSE))</f>
        <v/>
      </c>
      <c r="F28" s="191" t="str">
        <f>IF($H28="","",VLOOKUP($H28,'ETF List'!$C$1:$J$100,5,FALSE))</f>
        <v/>
      </c>
      <c r="G28" s="191" t="str">
        <f>IF($H28="","",VLOOKUP($H28,'ETF List'!$C$1:$J$100,6,FALSE))</f>
        <v/>
      </c>
      <c r="H28" s="239" t="str">
        <f>IF('Price Inputs'!C21="","",'Price Inputs'!C21)</f>
        <v/>
      </c>
      <c r="I28" s="335" t="str">
        <f>IF(H28="","",VLOOKUP(H28,'Weekly  Sum'!$B$49:$I$77,8,FALSE))</f>
        <v/>
      </c>
      <c r="J28" s="537"/>
      <c r="K28" s="538"/>
      <c r="L28" s="539"/>
      <c r="M28" s="540"/>
      <c r="N28" s="590" t="str">
        <f>IF(H28="","",VLOOKUP(H28,'Port Returns'!$C$176:$I$206,7,FALSE))</f>
        <v/>
      </c>
      <c r="O28" s="443" t="str">
        <f t="shared" ref="O28:O54" si="3">IF(N28="","",IF(ISERROR((1+N28)^(52/5)-1),"",(1+N28)^(52/5))-1)</f>
        <v/>
      </c>
      <c r="T28" s="565"/>
      <c r="U28" s="565"/>
      <c r="V28" s="565"/>
      <c r="W28" s="565"/>
      <c r="X28" s="565"/>
      <c r="Y28" s="565"/>
      <c r="Z28" s="565"/>
      <c r="AA28" s="565"/>
      <c r="AB28" s="565"/>
      <c r="AC28" s="565"/>
      <c r="AD28" s="565"/>
      <c r="AE28" s="565"/>
    </row>
    <row r="29" spans="1:32" x14ac:dyDescent="0.2">
      <c r="B29" s="237">
        <f t="shared" si="2"/>
        <v>6</v>
      </c>
      <c r="D29" s="190">
        <v>3</v>
      </c>
      <c r="E29" s="60" t="str">
        <f>IF($H29="","",VLOOKUP($H29,'ETF List'!$C$1:$J$100,4,FALSE))</f>
        <v/>
      </c>
      <c r="F29" s="191" t="str">
        <f>IF($H29="","",VLOOKUP($H29,'ETF List'!$C$1:$J$100,5,FALSE))</f>
        <v/>
      </c>
      <c r="G29" s="191" t="str">
        <f>IF($H29="","",VLOOKUP($H29,'ETF List'!$C$1:$J$100,6,FALSE))</f>
        <v/>
      </c>
      <c r="H29" s="239" t="str">
        <f>IF('Price Inputs'!C22="","",'Price Inputs'!C22)</f>
        <v/>
      </c>
      <c r="I29" s="335" t="str">
        <f>IF(H29="","",VLOOKUP(H29,'Weekly  Sum'!$B$49:$I$77,8,FALSE))</f>
        <v/>
      </c>
      <c r="J29" s="537"/>
      <c r="K29" s="538"/>
      <c r="L29" s="539"/>
      <c r="M29" s="540"/>
      <c r="N29" s="590" t="str">
        <f>IF(H29="","",VLOOKUP(H29,'Port Returns'!$C$176:$I$206,7,FALSE))</f>
        <v/>
      </c>
      <c r="O29" s="443" t="str">
        <f t="shared" si="3"/>
        <v/>
      </c>
      <c r="T29" s="565"/>
      <c r="U29" s="565"/>
      <c r="V29" s="565"/>
      <c r="W29" s="565"/>
      <c r="X29" s="565"/>
      <c r="Y29" s="565"/>
      <c r="Z29" s="565"/>
      <c r="AA29" s="565"/>
      <c r="AB29" s="565"/>
      <c r="AC29" s="565"/>
      <c r="AD29" s="565"/>
      <c r="AE29" s="565"/>
    </row>
    <row r="30" spans="1:32" x14ac:dyDescent="0.2">
      <c r="B30" s="237">
        <f t="shared" si="2"/>
        <v>7</v>
      </c>
      <c r="D30" s="190">
        <v>4</v>
      </c>
      <c r="E30" s="60" t="str">
        <f>IF($H30="","",VLOOKUP($H30,'ETF List'!$C$1:$J$100,4,FALSE))</f>
        <v/>
      </c>
      <c r="F30" s="191" t="str">
        <f>IF($H30="","",VLOOKUP($H30,'ETF List'!$C$1:$J$100,5,FALSE))</f>
        <v/>
      </c>
      <c r="G30" s="191" t="str">
        <f>IF($H30="","",VLOOKUP($H30,'ETF List'!$C$1:$J$100,6,FALSE))</f>
        <v/>
      </c>
      <c r="H30" s="239" t="str">
        <f>IF('Price Inputs'!C23="","",'Price Inputs'!C23)</f>
        <v/>
      </c>
      <c r="I30" s="335" t="str">
        <f>IF(H30="","",VLOOKUP(H30,'Weekly  Sum'!$B$49:$I$77,8,FALSE))</f>
        <v/>
      </c>
      <c r="J30" s="537"/>
      <c r="K30" s="538"/>
      <c r="L30" s="539"/>
      <c r="M30" s="540"/>
      <c r="N30" s="590" t="str">
        <f>IF(H30="","",VLOOKUP(H30,'Port Returns'!$C$176:$I$206,7,FALSE))</f>
        <v/>
      </c>
      <c r="O30" s="443" t="str">
        <f t="shared" si="3"/>
        <v/>
      </c>
      <c r="T30" s="565"/>
      <c r="U30" s="565"/>
      <c r="V30" s="565"/>
      <c r="W30" s="565"/>
      <c r="X30" s="565"/>
      <c r="Y30" s="565"/>
      <c r="Z30" s="565"/>
      <c r="AA30" s="565"/>
      <c r="AB30" s="565"/>
      <c r="AC30" s="565"/>
      <c r="AD30" s="565"/>
      <c r="AE30" s="565"/>
    </row>
    <row r="31" spans="1:32" x14ac:dyDescent="0.2">
      <c r="B31" s="237">
        <f t="shared" si="2"/>
        <v>8</v>
      </c>
      <c r="D31" s="190">
        <v>5</v>
      </c>
      <c r="E31" s="60" t="str">
        <f>IF($H31="","",VLOOKUP($H31,'ETF List'!$C$1:$J$100,4,FALSE))</f>
        <v/>
      </c>
      <c r="F31" s="191" t="str">
        <f>IF($H31="","",VLOOKUP($H31,'ETF List'!$C$1:$J$100,5,FALSE))</f>
        <v/>
      </c>
      <c r="G31" s="191" t="str">
        <f>IF($H31="","",VLOOKUP($H31,'ETF List'!$C$1:$J$100,6,FALSE))</f>
        <v/>
      </c>
      <c r="H31" s="239" t="str">
        <f>IF('Price Inputs'!C24="","",'Price Inputs'!C24)</f>
        <v/>
      </c>
      <c r="I31" s="335" t="str">
        <f>IF(H31="","",VLOOKUP(H31,'Weekly  Sum'!$B$49:$I$77,8,FALSE))</f>
        <v/>
      </c>
      <c r="J31" s="537"/>
      <c r="K31" s="538"/>
      <c r="L31" s="539"/>
      <c r="M31" s="540"/>
      <c r="N31" s="590" t="str">
        <f>IF(H31="","",VLOOKUP(H31,'Port Returns'!$C$176:$I$206,7,FALSE))</f>
        <v/>
      </c>
      <c r="O31" s="443" t="str">
        <f t="shared" si="3"/>
        <v/>
      </c>
      <c r="T31" s="565"/>
      <c r="U31" s="565"/>
      <c r="V31" s="565"/>
      <c r="W31" s="565"/>
      <c r="X31" s="565"/>
      <c r="Y31" s="565"/>
      <c r="Z31" s="565"/>
      <c r="AA31" s="565"/>
      <c r="AB31" s="565"/>
      <c r="AC31" s="565"/>
      <c r="AD31" s="565"/>
      <c r="AE31" s="565"/>
    </row>
    <row r="32" spans="1:32" x14ac:dyDescent="0.2">
      <c r="B32" s="237">
        <f t="shared" si="2"/>
        <v>9</v>
      </c>
      <c r="D32" s="190">
        <v>6</v>
      </c>
      <c r="E32" s="60" t="str">
        <f>IF($H32="","",VLOOKUP($H32,'ETF List'!$C$1:$J$100,4,FALSE))</f>
        <v/>
      </c>
      <c r="F32" s="191" t="str">
        <f>IF($H32="","",VLOOKUP($H32,'ETF List'!$C$1:$J$100,5,FALSE))</f>
        <v/>
      </c>
      <c r="G32" s="191" t="str">
        <f>IF($H32="","",VLOOKUP($H32,'ETF List'!$C$1:$J$100,6,FALSE))</f>
        <v/>
      </c>
      <c r="H32" s="239" t="str">
        <f>IF('Price Inputs'!C25="","",'Price Inputs'!C25)</f>
        <v/>
      </c>
      <c r="I32" s="335" t="str">
        <f>IF(H32="","",VLOOKUP(H32,'Weekly  Sum'!$B$49:$I$77,8,FALSE))</f>
        <v/>
      </c>
      <c r="J32" s="537"/>
      <c r="K32" s="538"/>
      <c r="L32" s="539"/>
      <c r="M32" s="540"/>
      <c r="N32" s="590" t="str">
        <f>IF(H32="","",VLOOKUP(H32,'Port Returns'!$C$176:$I$206,7,FALSE))</f>
        <v/>
      </c>
      <c r="O32" s="443" t="str">
        <f t="shared" si="3"/>
        <v/>
      </c>
    </row>
    <row r="33" spans="2:25" x14ac:dyDescent="0.2">
      <c r="B33" s="237">
        <f t="shared" si="2"/>
        <v>10</v>
      </c>
      <c r="D33" s="190">
        <v>7</v>
      </c>
      <c r="E33" s="60" t="str">
        <f>IF($H33="","",VLOOKUP($H33,'ETF List'!$C$1:$J$100,4,FALSE))</f>
        <v/>
      </c>
      <c r="F33" s="191" t="str">
        <f>IF($H33="","",VLOOKUP($H33,'ETF List'!$C$1:$J$100,5,FALSE))</f>
        <v/>
      </c>
      <c r="G33" s="191" t="str">
        <f>IF($H33="","",VLOOKUP($H33,'ETF List'!$C$1:$J$100,6,FALSE))</f>
        <v/>
      </c>
      <c r="H33" s="239" t="str">
        <f>IF('Price Inputs'!C26="","",'Price Inputs'!C26)</f>
        <v/>
      </c>
      <c r="I33" s="335" t="str">
        <f>IF(H33="","",VLOOKUP(H33,'Weekly  Sum'!$B$49:$I$77,8,FALSE))</f>
        <v/>
      </c>
      <c r="J33" s="537"/>
      <c r="K33" s="538"/>
      <c r="L33" s="539"/>
      <c r="M33" s="540"/>
      <c r="N33" s="590" t="str">
        <f>IF(H33="","",VLOOKUP(H33,'Port Returns'!$C$176:$I$206,7,FALSE))</f>
        <v/>
      </c>
      <c r="O33" s="443" t="str">
        <f t="shared" si="3"/>
        <v/>
      </c>
    </row>
    <row r="34" spans="2:25" x14ac:dyDescent="0.2">
      <c r="B34" s="237">
        <f t="shared" si="2"/>
        <v>11</v>
      </c>
      <c r="D34" s="190">
        <v>8</v>
      </c>
      <c r="E34" s="60" t="str">
        <f>IF($H34="","",VLOOKUP($H34,'ETF List'!$C$1:$J$100,4,FALSE))</f>
        <v/>
      </c>
      <c r="F34" s="191" t="str">
        <f>IF($H34="","",VLOOKUP($H34,'ETF List'!$C$1:$J$100,5,FALSE))</f>
        <v/>
      </c>
      <c r="G34" s="191" t="str">
        <f>IF($H34="","",VLOOKUP($H34,'ETF List'!$C$1:$J$100,6,FALSE))</f>
        <v/>
      </c>
      <c r="H34" s="239" t="str">
        <f>IF('Price Inputs'!C27="","",'Price Inputs'!C27)</f>
        <v/>
      </c>
      <c r="I34" s="335" t="str">
        <f>IF(H34="","",VLOOKUP(H34,'Weekly  Sum'!$B$49:$I$77,8,FALSE))</f>
        <v/>
      </c>
      <c r="J34" s="537"/>
      <c r="K34" s="538"/>
      <c r="L34" s="539"/>
      <c r="M34" s="540"/>
      <c r="N34" s="590" t="str">
        <f>IF(H34="","",VLOOKUP(H34,'Port Returns'!$C$176:$I$206,7,FALSE))</f>
        <v/>
      </c>
      <c r="O34" s="443" t="str">
        <f t="shared" si="3"/>
        <v/>
      </c>
      <c r="U34" s="290"/>
      <c r="X34" s="1"/>
      <c r="Y34" s="1"/>
    </row>
    <row r="35" spans="2:25" x14ac:dyDescent="0.2">
      <c r="B35" s="237">
        <f t="shared" si="2"/>
        <v>12</v>
      </c>
      <c r="D35" s="190">
        <v>9</v>
      </c>
      <c r="E35" s="60" t="str">
        <f>IF($H35="","",VLOOKUP($H35,'ETF List'!$C$1:$J$100,4,FALSE))</f>
        <v/>
      </c>
      <c r="F35" s="191" t="str">
        <f>IF($H35="","",VLOOKUP($H35,'ETF List'!$C$1:$J$100,5,FALSE))</f>
        <v/>
      </c>
      <c r="G35" s="191" t="str">
        <f>IF($H35="","",VLOOKUP($H35,'ETF List'!$C$1:$J$100,6,FALSE))</f>
        <v/>
      </c>
      <c r="H35" s="239" t="str">
        <f>IF('Price Inputs'!C28="","",'Price Inputs'!C28)</f>
        <v/>
      </c>
      <c r="I35" s="335" t="str">
        <f>IF(H35="","",VLOOKUP(H35,'Weekly  Sum'!$B$49:$I$77,8,FALSE))</f>
        <v/>
      </c>
      <c r="J35" s="537"/>
      <c r="K35" s="538"/>
      <c r="L35" s="539"/>
      <c r="M35" s="540"/>
      <c r="N35" s="590" t="str">
        <f>IF(H35="","",VLOOKUP(H35,'Port Returns'!$C$176:$I$206,7,FALSE))</f>
        <v/>
      </c>
      <c r="O35" s="443" t="str">
        <f t="shared" si="3"/>
        <v/>
      </c>
      <c r="U35" s="290"/>
      <c r="X35" s="1"/>
      <c r="Y35" s="1"/>
    </row>
    <row r="36" spans="2:25" x14ac:dyDescent="0.2">
      <c r="B36" s="237">
        <f t="shared" si="2"/>
        <v>13</v>
      </c>
      <c r="D36" s="190">
        <v>10</v>
      </c>
      <c r="E36" s="60" t="str">
        <f>IF($H36="","",VLOOKUP($H36,'ETF List'!$C$1:$J$100,4,FALSE))</f>
        <v/>
      </c>
      <c r="F36" s="191" t="str">
        <f>IF($H36="","",VLOOKUP($H36,'ETF List'!$C$1:$J$100,5,FALSE))</f>
        <v/>
      </c>
      <c r="G36" s="191" t="str">
        <f>IF($H36="","",VLOOKUP($H36,'ETF List'!$C$1:$J$100,6,FALSE))</f>
        <v/>
      </c>
      <c r="H36" s="239" t="str">
        <f>IF('Price Inputs'!C29="","",'Price Inputs'!C29)</f>
        <v/>
      </c>
      <c r="I36" s="335" t="str">
        <f>IF(H36="","",VLOOKUP(H36,'Weekly  Sum'!$B$49:$I$77,8,FALSE))</f>
        <v/>
      </c>
      <c r="J36" s="537"/>
      <c r="K36" s="538"/>
      <c r="L36" s="539"/>
      <c r="M36" s="540"/>
      <c r="N36" s="591" t="str">
        <f>IF(H36="","",VLOOKUP(H36,'Port Returns'!$C$176:$I$206,7,FALSE))</f>
        <v/>
      </c>
      <c r="O36" s="443" t="str">
        <f t="shared" si="3"/>
        <v/>
      </c>
    </row>
    <row r="37" spans="2:25" x14ac:dyDescent="0.2">
      <c r="B37" s="237">
        <f t="shared" si="2"/>
        <v>14</v>
      </c>
      <c r="D37" s="190">
        <v>11</v>
      </c>
      <c r="E37" s="60" t="str">
        <f>IF($H37="","",VLOOKUP($H37,'ETF List'!$C$1:$J$100,4,FALSE))</f>
        <v/>
      </c>
      <c r="F37" s="191" t="str">
        <f>IF($H37="","",VLOOKUP($H37,'ETF List'!$C$1:$J$100,5,FALSE))</f>
        <v/>
      </c>
      <c r="G37" s="191" t="str">
        <f>IF($H37="","",VLOOKUP($H37,'ETF List'!$C$1:$J$100,6,FALSE))</f>
        <v/>
      </c>
      <c r="H37" s="239" t="str">
        <f>IF('Price Inputs'!C30="","",'Price Inputs'!C30)</f>
        <v/>
      </c>
      <c r="I37" s="335" t="str">
        <f>IF(H37="","",VLOOKUP(H37,'Weekly  Sum'!$B$49:$I$77,8,FALSE))</f>
        <v/>
      </c>
      <c r="J37" s="537"/>
      <c r="K37" s="538"/>
      <c r="L37" s="539"/>
      <c r="M37" s="540"/>
      <c r="N37" s="591" t="str">
        <f>IF(H37="","",VLOOKUP(H37,'Port Returns'!$C$176:$I$206,7,FALSE))</f>
        <v/>
      </c>
      <c r="O37" s="443" t="str">
        <f>IF(N37="","",IF(ISERROR((1+N37)^(52/5)-1),"",(1+N37)^(52/5))-1)</f>
        <v/>
      </c>
    </row>
    <row r="38" spans="2:25" x14ac:dyDescent="0.2">
      <c r="B38" s="237">
        <f t="shared" si="2"/>
        <v>15</v>
      </c>
      <c r="D38" s="190">
        <v>12</v>
      </c>
      <c r="E38" s="60" t="str">
        <f>IF($H38="","",VLOOKUP($H38,'ETF List'!$C$1:$J$100,4,FALSE))</f>
        <v/>
      </c>
      <c r="F38" s="191" t="str">
        <f>IF($H38="","",VLOOKUP($H38,'ETF List'!$C$1:$J$100,5,FALSE))</f>
        <v/>
      </c>
      <c r="G38" s="191" t="str">
        <f>IF($H38="","",VLOOKUP($H38,'ETF List'!$C$1:$J$100,6,FALSE))</f>
        <v/>
      </c>
      <c r="H38" s="239" t="str">
        <f>IF('Price Inputs'!C31="","",'Price Inputs'!C31)</f>
        <v/>
      </c>
      <c r="I38" s="335" t="str">
        <f>IF(H38="","",VLOOKUP(H38,'Weekly  Sum'!$B$49:$I$77,8,FALSE))</f>
        <v/>
      </c>
      <c r="J38" s="537"/>
      <c r="K38" s="538"/>
      <c r="L38" s="539"/>
      <c r="M38" s="540"/>
      <c r="N38" s="591" t="str">
        <f>IF(H38="","",VLOOKUP(H38,'Port Returns'!$C$176:$I$206,7,FALSE))</f>
        <v/>
      </c>
      <c r="O38" s="443" t="str">
        <f t="shared" si="3"/>
        <v/>
      </c>
    </row>
    <row r="39" spans="2:25" x14ac:dyDescent="0.2">
      <c r="B39" s="237">
        <f t="shared" si="2"/>
        <v>16</v>
      </c>
      <c r="D39" s="190">
        <v>13</v>
      </c>
      <c r="E39" s="60" t="str">
        <f>IF($H39="","",VLOOKUP($H39,'ETF List'!$C$1:$J$100,4,FALSE))</f>
        <v/>
      </c>
      <c r="F39" s="191" t="str">
        <f>IF($H39="","",VLOOKUP($H39,'ETF List'!$C$1:$J$100,5,FALSE))</f>
        <v/>
      </c>
      <c r="G39" s="191" t="str">
        <f>IF($H39="","",VLOOKUP($H39,'ETF List'!$C$1:$J$100,6,FALSE))</f>
        <v/>
      </c>
      <c r="H39" s="239" t="str">
        <f>IF('Price Inputs'!C32="","",'Price Inputs'!C32)</f>
        <v/>
      </c>
      <c r="I39" s="335" t="str">
        <f>IF(H39="","",VLOOKUP(H39,'Weekly  Sum'!$B$49:$I$77,8,FALSE))</f>
        <v/>
      </c>
      <c r="J39" s="537"/>
      <c r="K39" s="538"/>
      <c r="L39" s="539"/>
      <c r="M39" s="540"/>
      <c r="N39" s="591" t="str">
        <f>IF(H39="","",VLOOKUP(H39,'Port Returns'!$C$176:$I$206,7,FALSE))</f>
        <v/>
      </c>
      <c r="O39" s="443" t="str">
        <f t="shared" si="3"/>
        <v/>
      </c>
    </row>
    <row r="40" spans="2:25" x14ac:dyDescent="0.2">
      <c r="B40" s="237">
        <f t="shared" si="2"/>
        <v>17</v>
      </c>
      <c r="D40" s="190">
        <v>14</v>
      </c>
      <c r="E40" s="60" t="str">
        <f>IF($H40="","",VLOOKUP($H40,'ETF List'!$C$1:$J$100,4,FALSE))</f>
        <v/>
      </c>
      <c r="F40" s="191" t="str">
        <f>IF($H40="","",VLOOKUP($H40,'ETF List'!$C$1:$J$100,5,FALSE))</f>
        <v/>
      </c>
      <c r="G40" s="191" t="str">
        <f>IF($H40="","",VLOOKUP($H40,'ETF List'!$C$1:$J$100,6,FALSE))</f>
        <v/>
      </c>
      <c r="H40" s="239" t="str">
        <f>IF('Price Inputs'!C33="","",'Price Inputs'!C33)</f>
        <v/>
      </c>
      <c r="I40" s="335" t="str">
        <f>IF(H40="","",VLOOKUP(H40,'Weekly  Sum'!$B$49:$I$77,8,FALSE))</f>
        <v/>
      </c>
      <c r="J40" s="537"/>
      <c r="K40" s="538"/>
      <c r="L40" s="539"/>
      <c r="M40" s="540"/>
      <c r="N40" s="591" t="str">
        <f>IF(H40="","",VLOOKUP(H40,'Port Returns'!$C$176:$I$206,7,FALSE))</f>
        <v/>
      </c>
      <c r="O40" s="443" t="str">
        <f t="shared" si="3"/>
        <v/>
      </c>
    </row>
    <row r="41" spans="2:25" x14ac:dyDescent="0.2">
      <c r="B41" s="237">
        <f t="shared" si="2"/>
        <v>18</v>
      </c>
      <c r="D41" s="190">
        <v>15</v>
      </c>
      <c r="E41" s="60" t="str">
        <f>IF($H41="","",VLOOKUP($H41,'ETF List'!$C$1:$J$100,4,FALSE))</f>
        <v/>
      </c>
      <c r="F41" s="191" t="str">
        <f>IF($H41="","",VLOOKUP($H41,'ETF List'!$C$1:$J$100,5,FALSE))</f>
        <v/>
      </c>
      <c r="G41" s="191" t="str">
        <f>IF($H41="","",VLOOKUP($H41,'ETF List'!$C$1:$J$100,6,FALSE))</f>
        <v/>
      </c>
      <c r="H41" s="239" t="str">
        <f>IF('Price Inputs'!C34="","",'Price Inputs'!C34)</f>
        <v/>
      </c>
      <c r="I41" s="335" t="str">
        <f>IF(H41="","",VLOOKUP(H41,'Weekly  Sum'!$B$49:$I$77,8,FALSE))</f>
        <v/>
      </c>
      <c r="J41" s="537"/>
      <c r="K41" s="538"/>
      <c r="L41" s="539"/>
      <c r="M41" s="540"/>
      <c r="N41" s="591" t="str">
        <f>IF(H41="","",VLOOKUP(H41,'Port Returns'!$C$176:$I$206,7,FALSE))</f>
        <v/>
      </c>
      <c r="O41" s="443" t="str">
        <f t="shared" si="3"/>
        <v/>
      </c>
    </row>
    <row r="42" spans="2:25" x14ac:dyDescent="0.2">
      <c r="B42" s="237">
        <f t="shared" si="2"/>
        <v>19</v>
      </c>
      <c r="D42" s="190">
        <v>16</v>
      </c>
      <c r="E42" s="60" t="str">
        <f>IF($H42="","",VLOOKUP($H42,'ETF List'!$C$1:$J$100,4,FALSE))</f>
        <v/>
      </c>
      <c r="F42" s="191" t="str">
        <f>IF($H42="","",VLOOKUP($H42,'ETF List'!$C$1:$J$100,5,FALSE))</f>
        <v/>
      </c>
      <c r="G42" s="191" t="str">
        <f>IF($H42="","",VLOOKUP($H42,'ETF List'!$C$1:$J$100,6,FALSE))</f>
        <v/>
      </c>
      <c r="H42" s="239" t="str">
        <f>IF('Price Inputs'!C35="","",'Price Inputs'!C35)</f>
        <v/>
      </c>
      <c r="I42" s="335" t="str">
        <f>IF(H42="","",VLOOKUP(H42,'Weekly  Sum'!$B$49:$I$77,8,FALSE))</f>
        <v/>
      </c>
      <c r="J42" s="537"/>
      <c r="K42" s="538"/>
      <c r="L42" s="539"/>
      <c r="M42" s="540"/>
      <c r="N42" s="591" t="str">
        <f>IF(H42="","",VLOOKUP(H42,'Port Returns'!$C$176:$I$206,7,FALSE))</f>
        <v/>
      </c>
      <c r="O42" s="443" t="str">
        <f t="shared" si="3"/>
        <v/>
      </c>
    </row>
    <row r="43" spans="2:25" x14ac:dyDescent="0.2">
      <c r="B43" s="237">
        <f t="shared" si="2"/>
        <v>20</v>
      </c>
      <c r="D43" s="190">
        <v>17</v>
      </c>
      <c r="E43" s="60" t="str">
        <f>IF($H43="","",VLOOKUP($H43,'ETF List'!$C$1:$J$100,4,FALSE))</f>
        <v/>
      </c>
      <c r="F43" s="191" t="str">
        <f>IF($H43="","",VLOOKUP($H43,'ETF List'!$C$1:$J$100,5,FALSE))</f>
        <v/>
      </c>
      <c r="G43" s="191" t="str">
        <f>IF($H43="","",VLOOKUP($H43,'ETF List'!$C$1:$J$100,6,FALSE))</f>
        <v/>
      </c>
      <c r="H43" s="239" t="str">
        <f>IF('Price Inputs'!C36="","",'Price Inputs'!C36)</f>
        <v/>
      </c>
      <c r="I43" s="335" t="str">
        <f>IF(H43="","",VLOOKUP(H43,'Weekly  Sum'!$B$49:$I$77,8,FALSE))</f>
        <v/>
      </c>
      <c r="J43" s="537"/>
      <c r="K43" s="538"/>
      <c r="L43" s="539"/>
      <c r="M43" s="540"/>
      <c r="N43" s="591" t="str">
        <f>IF(H43="","",VLOOKUP(H43,'Port Returns'!$C$176:$I$206,7,FALSE))</f>
        <v/>
      </c>
      <c r="O43" s="443" t="str">
        <f t="shared" si="3"/>
        <v/>
      </c>
    </row>
    <row r="44" spans="2:25" x14ac:dyDescent="0.2">
      <c r="B44" s="237">
        <f t="shared" si="2"/>
        <v>21</v>
      </c>
      <c r="D44" s="190">
        <v>18</v>
      </c>
      <c r="E44" s="60" t="str">
        <f>IF($H44="","",VLOOKUP($H44,'ETF List'!$C$1:$J$100,4,FALSE))</f>
        <v/>
      </c>
      <c r="F44" s="191" t="str">
        <f>IF($H44="","",VLOOKUP($H44,'ETF List'!$C$1:$J$100,5,FALSE))</f>
        <v/>
      </c>
      <c r="G44" s="191" t="str">
        <f>IF($H44="","",VLOOKUP($H44,'ETF List'!$C$1:$J$100,6,FALSE))</f>
        <v/>
      </c>
      <c r="H44" s="239" t="str">
        <f>IF('Price Inputs'!C37="","",'Price Inputs'!C37)</f>
        <v/>
      </c>
      <c r="I44" s="335" t="str">
        <f>IF(H44="","",VLOOKUP(H44,'Weekly  Sum'!$B$49:$I$77,8,FALSE))</f>
        <v/>
      </c>
      <c r="J44" s="537"/>
      <c r="K44" s="538"/>
      <c r="L44" s="539"/>
      <c r="M44" s="540"/>
      <c r="N44" s="591" t="str">
        <f>IF(H44="","",VLOOKUP(H44,'Port Returns'!$C$176:$I$206,7,FALSE))</f>
        <v/>
      </c>
      <c r="O44" s="443" t="str">
        <f t="shared" si="3"/>
        <v/>
      </c>
    </row>
    <row r="45" spans="2:25" x14ac:dyDescent="0.2">
      <c r="B45" s="237">
        <f t="shared" si="2"/>
        <v>22</v>
      </c>
      <c r="D45" s="190">
        <v>19</v>
      </c>
      <c r="E45" s="60" t="str">
        <f>IF($H45="","",VLOOKUP($H45,'ETF List'!$C$1:$J$100,4,FALSE))</f>
        <v/>
      </c>
      <c r="F45" s="191" t="str">
        <f>IF($H45="","",VLOOKUP($H45,'ETF List'!$C$1:$J$100,5,FALSE))</f>
        <v/>
      </c>
      <c r="G45" s="191" t="str">
        <f>IF($H45="","",VLOOKUP($H45,'ETF List'!$C$1:$J$100,6,FALSE))</f>
        <v/>
      </c>
      <c r="H45" s="239" t="str">
        <f>IF('Price Inputs'!C38="","",'Price Inputs'!C38)</f>
        <v/>
      </c>
      <c r="I45" s="335" t="str">
        <f>IF(H45="","",VLOOKUP(H45,'Weekly  Sum'!$B$49:$I$77,8,FALSE))</f>
        <v/>
      </c>
      <c r="J45" s="537"/>
      <c r="K45" s="538"/>
      <c r="L45" s="539"/>
      <c r="M45" s="540"/>
      <c r="N45" s="591" t="str">
        <f>IF(H45="","",VLOOKUP(H45,'Port Returns'!$C$176:$I$206,7,FALSE))</f>
        <v/>
      </c>
      <c r="O45" s="443" t="str">
        <f t="shared" si="3"/>
        <v/>
      </c>
    </row>
    <row r="46" spans="2:25" x14ac:dyDescent="0.2">
      <c r="B46" s="237">
        <f t="shared" si="2"/>
        <v>23</v>
      </c>
      <c r="D46" s="190">
        <v>20</v>
      </c>
      <c r="E46" s="60" t="str">
        <f>IF($H46="","",VLOOKUP($H46,'ETF List'!$C$1:$J$100,4,FALSE))</f>
        <v/>
      </c>
      <c r="F46" s="191" t="str">
        <f>IF($H46="","",VLOOKUP($H46,'ETF List'!$C$1:$J$100,5,FALSE))</f>
        <v/>
      </c>
      <c r="G46" s="191" t="str">
        <f>IF($H46="","",VLOOKUP($H46,'ETF List'!$C$1:$J$100,6,FALSE))</f>
        <v/>
      </c>
      <c r="H46" s="239" t="str">
        <f>IF('Price Inputs'!C39="","",'Price Inputs'!C39)</f>
        <v/>
      </c>
      <c r="I46" s="335" t="str">
        <f>IF(H46="","",VLOOKUP(H46,'Weekly  Sum'!$B$49:$I$77,8,FALSE))</f>
        <v/>
      </c>
      <c r="J46" s="537"/>
      <c r="K46" s="538"/>
      <c r="L46" s="539"/>
      <c r="M46" s="540"/>
      <c r="N46" s="591" t="str">
        <f>IF(H46="","",VLOOKUP(H46,'Port Returns'!$C$176:$I$206,7,FALSE))</f>
        <v/>
      </c>
      <c r="O46" s="443" t="str">
        <f t="shared" si="3"/>
        <v/>
      </c>
    </row>
    <row r="47" spans="2:25" x14ac:dyDescent="0.2">
      <c r="B47" s="237">
        <f t="shared" si="2"/>
        <v>24</v>
      </c>
      <c r="D47" s="190">
        <v>21</v>
      </c>
      <c r="E47" s="60" t="str">
        <f>IF($H47="","",VLOOKUP($H47,'ETF List'!$C$1:$J$100,4,FALSE))</f>
        <v/>
      </c>
      <c r="F47" s="191" t="str">
        <f>IF($H47="","",VLOOKUP($H47,'ETF List'!$C$1:$J$100,5,FALSE))</f>
        <v/>
      </c>
      <c r="G47" s="191" t="str">
        <f>IF($H47="","",VLOOKUP($H47,'ETF List'!$C$1:$J$100,6,FALSE))</f>
        <v/>
      </c>
      <c r="H47" s="239" t="str">
        <f>IF('Price Inputs'!C40="","",'Price Inputs'!C40)</f>
        <v/>
      </c>
      <c r="I47" s="335" t="str">
        <f>IF(H47="","",VLOOKUP(H47,'Weekly  Sum'!$B$49:$I$77,8,FALSE))</f>
        <v/>
      </c>
      <c r="J47" s="537"/>
      <c r="K47" s="538"/>
      <c r="L47" s="539"/>
      <c r="M47" s="540"/>
      <c r="N47" s="591" t="str">
        <f>IF(H47="","",VLOOKUP(H47,'Port Returns'!$C$176:$I$206,7,FALSE))</f>
        <v/>
      </c>
      <c r="O47" s="443" t="str">
        <f t="shared" si="3"/>
        <v/>
      </c>
    </row>
    <row r="48" spans="2:25" x14ac:dyDescent="0.2">
      <c r="B48" s="237">
        <f t="shared" si="2"/>
        <v>25</v>
      </c>
      <c r="D48" s="190">
        <v>22</v>
      </c>
      <c r="E48" s="60" t="str">
        <f>IF($H48="","",VLOOKUP($H48,'ETF List'!$C$1:$J$100,4,FALSE))</f>
        <v/>
      </c>
      <c r="F48" s="191" t="str">
        <f>IF($H48="","",VLOOKUP($H48,'ETF List'!$C$1:$J$100,5,FALSE))</f>
        <v/>
      </c>
      <c r="G48" s="191" t="str">
        <f>IF($H48="","",VLOOKUP($H48,'ETF List'!$C$1:$J$100,6,FALSE))</f>
        <v/>
      </c>
      <c r="H48" s="239" t="str">
        <f>IF('Price Inputs'!C41="","",'Price Inputs'!C41)</f>
        <v/>
      </c>
      <c r="I48" s="335" t="str">
        <f>IF(H48="","",VLOOKUP(H48,'Weekly  Sum'!$B$49:$I$77,8,FALSE))</f>
        <v/>
      </c>
      <c r="J48" s="537"/>
      <c r="K48" s="538"/>
      <c r="L48" s="539"/>
      <c r="M48" s="540"/>
      <c r="N48" s="591" t="str">
        <f>IF(H48="","",VLOOKUP(H48,'Port Returns'!$C$176:$I$206,7,FALSE))</f>
        <v/>
      </c>
      <c r="O48" s="443" t="str">
        <f t="shared" si="3"/>
        <v/>
      </c>
    </row>
    <row r="49" spans="2:15" x14ac:dyDescent="0.2">
      <c r="B49" s="237">
        <f t="shared" si="2"/>
        <v>26</v>
      </c>
      <c r="D49" s="190">
        <v>23</v>
      </c>
      <c r="E49" s="60" t="str">
        <f>IF($H49="","",VLOOKUP($H49,'ETF List'!$C$1:$J$100,4,FALSE))</f>
        <v/>
      </c>
      <c r="F49" s="191" t="str">
        <f>IF($H49="","",VLOOKUP($H49,'ETF List'!$C$1:$J$100,5,FALSE))</f>
        <v/>
      </c>
      <c r="G49" s="191" t="str">
        <f>IF($H49="","",VLOOKUP($H49,'ETF List'!$C$1:$J$100,6,FALSE))</f>
        <v/>
      </c>
      <c r="H49" s="239" t="str">
        <f>IF('Price Inputs'!C42="","",'Price Inputs'!C42)</f>
        <v/>
      </c>
      <c r="I49" s="335" t="str">
        <f>IF(H49="","",VLOOKUP(H49,'Weekly  Sum'!$B$49:$I$77,8,FALSE))</f>
        <v/>
      </c>
      <c r="J49" s="537"/>
      <c r="K49" s="538"/>
      <c r="L49" s="539"/>
      <c r="M49" s="540"/>
      <c r="N49" s="591" t="str">
        <f>IF(H49="","",VLOOKUP(H49,'Port Returns'!$C$176:$I$206,7,FALSE))</f>
        <v/>
      </c>
      <c r="O49" s="443" t="str">
        <f t="shared" si="3"/>
        <v/>
      </c>
    </row>
    <row r="50" spans="2:15" x14ac:dyDescent="0.2">
      <c r="B50" s="237">
        <f t="shared" si="2"/>
        <v>27</v>
      </c>
      <c r="D50" s="190">
        <v>24</v>
      </c>
      <c r="E50" s="60" t="str">
        <f>IF($H50="","",VLOOKUP($H50,'ETF List'!$C$1:$J$100,4,FALSE))</f>
        <v/>
      </c>
      <c r="F50" s="191" t="str">
        <f>IF($H50="","",VLOOKUP($H50,'ETF List'!$C$1:$J$100,5,FALSE))</f>
        <v/>
      </c>
      <c r="G50" s="191" t="str">
        <f>IF($H50="","",VLOOKUP($H50,'ETF List'!$C$1:$J$100,6,FALSE))</f>
        <v/>
      </c>
      <c r="H50" s="239" t="str">
        <f>IF('Price Inputs'!C43="","",'Price Inputs'!C43)</f>
        <v/>
      </c>
      <c r="I50" s="335" t="str">
        <f>IF(H50="","",VLOOKUP(H50,'Weekly  Sum'!$B$49:$I$77,8,FALSE))</f>
        <v/>
      </c>
      <c r="J50" s="537"/>
      <c r="K50" s="538"/>
      <c r="L50" s="539"/>
      <c r="M50" s="540"/>
      <c r="N50" s="591" t="str">
        <f>IF(H50="","",VLOOKUP(H50,'Port Returns'!$C$176:$I$206,7,FALSE))</f>
        <v/>
      </c>
      <c r="O50" s="443" t="str">
        <f t="shared" si="3"/>
        <v/>
      </c>
    </row>
    <row r="51" spans="2:15" x14ac:dyDescent="0.2">
      <c r="B51" s="237">
        <f t="shared" si="2"/>
        <v>28</v>
      </c>
      <c r="D51" s="190">
        <v>25</v>
      </c>
      <c r="E51" s="60" t="str">
        <f>IF($H51="","",VLOOKUP($H51,'ETF List'!$C$1:$J$100,4,FALSE))</f>
        <v/>
      </c>
      <c r="F51" s="191" t="str">
        <f>IF($H51="","",VLOOKUP($H51,'ETF List'!$C$1:$J$100,5,FALSE))</f>
        <v/>
      </c>
      <c r="G51" s="191" t="str">
        <f>IF($H51="","",VLOOKUP($H51,'ETF List'!$C$1:$J$100,6,FALSE))</f>
        <v/>
      </c>
      <c r="H51" s="239" t="str">
        <f>IF('Price Inputs'!C44="","",'Price Inputs'!C44)</f>
        <v/>
      </c>
      <c r="I51" s="335" t="str">
        <f>IF(H51="","",VLOOKUP(H51,'Weekly  Sum'!$B$49:$I$77,8,FALSE))</f>
        <v/>
      </c>
      <c r="J51" s="537"/>
      <c r="K51" s="538"/>
      <c r="L51" s="539"/>
      <c r="M51" s="540"/>
      <c r="N51" s="591" t="str">
        <f>IF(H51="","",VLOOKUP(H51,'Port Returns'!$C$176:$I$206,7,FALSE))</f>
        <v/>
      </c>
      <c r="O51" s="443" t="str">
        <f t="shared" si="3"/>
        <v/>
      </c>
    </row>
    <row r="52" spans="2:15" x14ac:dyDescent="0.2">
      <c r="B52" s="237">
        <f t="shared" si="2"/>
        <v>29</v>
      </c>
      <c r="D52" s="190">
        <v>26</v>
      </c>
      <c r="E52" s="60" t="str">
        <f>IF($H52="","",VLOOKUP($H52,'ETF List'!$C$1:$J$100,4,FALSE))</f>
        <v/>
      </c>
      <c r="F52" s="191" t="str">
        <f>IF($H52="","",VLOOKUP($H52,'ETF List'!$C$1:$J$100,5,FALSE))</f>
        <v/>
      </c>
      <c r="G52" s="191" t="str">
        <f>IF($H52="","",VLOOKUP($H52,'ETF List'!$C$1:$J$100,6,FALSE))</f>
        <v/>
      </c>
      <c r="H52" s="239" t="str">
        <f>IF('Price Inputs'!C45="","",'Price Inputs'!C45)</f>
        <v/>
      </c>
      <c r="I52" s="335" t="str">
        <f>IF(H52="","",VLOOKUP(H52,'Weekly  Sum'!$B$49:$I$77,8,FALSE))</f>
        <v/>
      </c>
      <c r="J52" s="537"/>
      <c r="K52" s="538"/>
      <c r="L52" s="539"/>
      <c r="M52" s="540"/>
      <c r="N52" s="591" t="str">
        <f>IF(H52="","",VLOOKUP(H52,'Port Returns'!$C$176:$I$206,7,FALSE))</f>
        <v/>
      </c>
      <c r="O52" s="443" t="str">
        <f t="shared" si="3"/>
        <v/>
      </c>
    </row>
    <row r="53" spans="2:15" x14ac:dyDescent="0.2">
      <c r="B53" s="237">
        <f t="shared" si="2"/>
        <v>30</v>
      </c>
      <c r="D53" s="190">
        <v>27</v>
      </c>
      <c r="E53" s="60" t="str">
        <f>IF($H53="","",VLOOKUP($H53,'ETF List'!$C$1:$J$100,4,FALSE))</f>
        <v/>
      </c>
      <c r="F53" s="191" t="str">
        <f>IF($H53="","",VLOOKUP($H53,'ETF List'!$C$1:$J$100,5,FALSE))</f>
        <v/>
      </c>
      <c r="G53" s="191" t="str">
        <f>IF($H53="","",VLOOKUP($H53,'ETF List'!$C$1:$J$100,6,FALSE))</f>
        <v/>
      </c>
      <c r="H53" s="239" t="str">
        <f>IF('Price Inputs'!C46="","",'Price Inputs'!C46)</f>
        <v/>
      </c>
      <c r="I53" s="335" t="str">
        <f>IF(H53="","",VLOOKUP(H53,'Weekly  Sum'!$B$49:$I$77,8,FALSE))</f>
        <v/>
      </c>
      <c r="J53" s="537"/>
      <c r="K53" s="538"/>
      <c r="L53" s="539"/>
      <c r="M53" s="540"/>
      <c r="N53" s="591" t="str">
        <f>IF(H53="","",VLOOKUP(H53,'Port Returns'!$C$176:$I$206,7,FALSE))</f>
        <v/>
      </c>
      <c r="O53" s="443" t="str">
        <f t="shared" si="3"/>
        <v/>
      </c>
    </row>
    <row r="54" spans="2:15" x14ac:dyDescent="0.2">
      <c r="B54" s="237">
        <f t="shared" si="2"/>
        <v>31</v>
      </c>
      <c r="D54" s="192">
        <v>28</v>
      </c>
      <c r="E54" s="293" t="str">
        <f>IF($H54="","",VLOOKUP($H54,'ETF List'!$C$1:$J$100,4,FALSE))</f>
        <v/>
      </c>
      <c r="F54" s="193" t="str">
        <f>IF($H54="","",VLOOKUP($H54,'ETF List'!$C$1:$J$100,5,FALSE))</f>
        <v/>
      </c>
      <c r="G54" s="193" t="str">
        <f>IF($H54="","",VLOOKUP($H54,'ETF List'!$C$1:$J$100,6,FALSE))</f>
        <v/>
      </c>
      <c r="H54" s="240" t="str">
        <f>IF('Price Inputs'!C47="","",'Price Inputs'!C47)</f>
        <v/>
      </c>
      <c r="I54" s="336" t="str">
        <f>IF(H54="","",VLOOKUP(H54,'Weekly  Sum'!$B$49:$I$77,8,FALSE))</f>
        <v/>
      </c>
      <c r="J54" s="541"/>
      <c r="K54" s="542"/>
      <c r="L54" s="543"/>
      <c r="M54" s="544"/>
      <c r="N54" s="592" t="str">
        <f>IF(H54="","",VLOOKUP(H54,'Port Returns'!$C$176:$I$206,7,FALSE))</f>
        <v/>
      </c>
      <c r="O54" s="444" t="str">
        <f t="shared" si="3"/>
        <v/>
      </c>
    </row>
    <row r="89" spans="8:17" x14ac:dyDescent="0.2">
      <c r="H89" s="1"/>
      <c r="I89" s="1"/>
    </row>
    <row r="90" spans="8:17" x14ac:dyDescent="0.2">
      <c r="H90" s="1"/>
      <c r="I90" s="1"/>
    </row>
    <row r="91" spans="8:17" x14ac:dyDescent="0.2">
      <c r="H91" s="1"/>
      <c r="I91" s="1"/>
      <c r="P91" s="5"/>
      <c r="Q91" s="5"/>
    </row>
    <row r="92" spans="8:17" x14ac:dyDescent="0.2">
      <c r="H92" s="1"/>
      <c r="I92" s="1"/>
    </row>
    <row r="93" spans="8:17" x14ac:dyDescent="0.2">
      <c r="H93" s="1"/>
      <c r="I93" s="1"/>
    </row>
    <row r="94" spans="8:17" x14ac:dyDescent="0.2">
      <c r="H94" s="1"/>
      <c r="I94" s="1"/>
    </row>
    <row r="95" spans="8:17" x14ac:dyDescent="0.2">
      <c r="H95" s="1"/>
      <c r="I95" s="1"/>
    </row>
    <row r="96" spans="8:17" x14ac:dyDescent="0.2">
      <c r="H96" s="1"/>
      <c r="I96" s="1"/>
    </row>
    <row r="97" spans="8:9" x14ac:dyDescent="0.2">
      <c r="H97" s="1"/>
      <c r="I97" s="1"/>
    </row>
    <row r="98" spans="8:9" x14ac:dyDescent="0.2">
      <c r="H98" s="1"/>
      <c r="I98" s="1"/>
    </row>
    <row r="99" spans="8:9" x14ac:dyDescent="0.2">
      <c r="H99" s="1"/>
      <c r="I99" s="1"/>
    </row>
    <row r="100" spans="8:9" x14ac:dyDescent="0.2">
      <c r="H100" s="1"/>
      <c r="I100" s="1"/>
    </row>
    <row r="101" spans="8:9" x14ac:dyDescent="0.2">
      <c r="H101" s="1"/>
      <c r="I101" s="1"/>
    </row>
    <row r="102" spans="8:9" x14ac:dyDescent="0.2">
      <c r="H102" s="1"/>
      <c r="I102" s="1"/>
    </row>
    <row r="103" spans="8:9" x14ac:dyDescent="0.2">
      <c r="H103" s="1"/>
      <c r="I103" s="1"/>
    </row>
    <row r="104" spans="8:9" x14ac:dyDescent="0.2">
      <c r="H104" s="1"/>
      <c r="I104" s="1"/>
    </row>
    <row r="105" spans="8:9" x14ac:dyDescent="0.2">
      <c r="H105" s="1"/>
      <c r="I105" s="1"/>
    </row>
    <row r="106" spans="8:9" x14ac:dyDescent="0.2">
      <c r="H106" s="1"/>
      <c r="I106" s="1"/>
    </row>
    <row r="107" spans="8:9" x14ac:dyDescent="0.2">
      <c r="H107" s="1"/>
      <c r="I107" s="1"/>
    </row>
    <row r="108" spans="8:9" x14ac:dyDescent="0.2">
      <c r="H108" s="1"/>
      <c r="I108" s="1"/>
    </row>
    <row r="109" spans="8:9" x14ac:dyDescent="0.2">
      <c r="H109" s="1"/>
      <c r="I109" s="1"/>
    </row>
    <row r="110" spans="8:9" x14ac:dyDescent="0.2">
      <c r="H110" s="1"/>
      <c r="I110" s="1"/>
    </row>
    <row r="111" spans="8:9" x14ac:dyDescent="0.2">
      <c r="H111" s="1"/>
      <c r="I111" s="1"/>
    </row>
    <row r="112" spans="8:9" x14ac:dyDescent="0.2">
      <c r="H112" s="1"/>
      <c r="I112" s="1"/>
    </row>
    <row r="113" spans="8:9" x14ac:dyDescent="0.2">
      <c r="H113" s="1"/>
      <c r="I113" s="1"/>
    </row>
    <row r="114" spans="8:9" x14ac:dyDescent="0.2">
      <c r="H114" s="1"/>
      <c r="I114" s="1"/>
    </row>
    <row r="115" spans="8:9" x14ac:dyDescent="0.2">
      <c r="H115" s="1"/>
      <c r="I115" s="1"/>
    </row>
    <row r="116" spans="8:9" x14ac:dyDescent="0.2">
      <c r="H116" s="1"/>
      <c r="I116" s="1"/>
    </row>
    <row r="117" spans="8:9" x14ac:dyDescent="0.2">
      <c r="H117" s="1"/>
      <c r="I117" s="1"/>
    </row>
    <row r="118" spans="8:9" x14ac:dyDescent="0.2">
      <c r="H118" s="1"/>
      <c r="I118" s="1"/>
    </row>
    <row r="119" spans="8:9" x14ac:dyDescent="0.2">
      <c r="H119" s="1"/>
      <c r="I119" s="1"/>
    </row>
    <row r="120" spans="8:9" x14ac:dyDescent="0.2">
      <c r="H120" s="1"/>
      <c r="I120" s="1"/>
    </row>
    <row r="121" spans="8:9" x14ac:dyDescent="0.2">
      <c r="H121" s="1"/>
      <c r="I121" s="1"/>
    </row>
    <row r="122" spans="8:9" x14ac:dyDescent="0.2">
      <c r="H122" s="1"/>
      <c r="I122" s="1"/>
    </row>
    <row r="123" spans="8:9" x14ac:dyDescent="0.2">
      <c r="H123" s="1"/>
      <c r="I123" s="1"/>
    </row>
    <row r="124" spans="8:9" x14ac:dyDescent="0.2">
      <c r="H124" s="1"/>
      <c r="I124" s="1"/>
    </row>
    <row r="125" spans="8:9" x14ac:dyDescent="0.2">
      <c r="H125" s="1"/>
      <c r="I125" s="1"/>
    </row>
    <row r="126" spans="8:9" x14ac:dyDescent="0.2">
      <c r="H126" s="1"/>
      <c r="I126" s="1"/>
    </row>
    <row r="127" spans="8:9" x14ac:dyDescent="0.2">
      <c r="H127" s="1"/>
      <c r="I127" s="1"/>
    </row>
    <row r="128" spans="8:9" x14ac:dyDescent="0.2">
      <c r="H128" s="1"/>
      <c r="I128" s="1"/>
    </row>
    <row r="129" spans="8:9" x14ac:dyDescent="0.2">
      <c r="H129" s="1"/>
      <c r="I129" s="1"/>
    </row>
    <row r="130" spans="8:9" x14ac:dyDescent="0.2">
      <c r="H130" s="1"/>
      <c r="I130" s="1"/>
    </row>
    <row r="131" spans="8:9" x14ac:dyDescent="0.2">
      <c r="H131" s="1"/>
      <c r="I131" s="1"/>
    </row>
    <row r="132" spans="8:9" x14ac:dyDescent="0.2">
      <c r="H132" s="1"/>
      <c r="I132" s="1"/>
    </row>
    <row r="133" spans="8:9" x14ac:dyDescent="0.2">
      <c r="H133" s="1"/>
      <c r="I133" s="1"/>
    </row>
    <row r="134" spans="8:9" x14ac:dyDescent="0.2">
      <c r="H134" s="1"/>
      <c r="I134" s="1"/>
    </row>
    <row r="135" spans="8:9" x14ac:dyDescent="0.2">
      <c r="H135" s="1"/>
      <c r="I135" s="1"/>
    </row>
    <row r="136" spans="8:9" x14ac:dyDescent="0.2">
      <c r="H136" s="1"/>
      <c r="I136" s="1"/>
    </row>
    <row r="137" spans="8:9" x14ac:dyDescent="0.2">
      <c r="H137" s="1"/>
      <c r="I137" s="1"/>
    </row>
    <row r="138" spans="8:9" x14ac:dyDescent="0.2">
      <c r="H138" s="1"/>
      <c r="I138" s="1"/>
    </row>
    <row r="139" spans="8:9" x14ac:dyDescent="0.2">
      <c r="H139" s="1"/>
      <c r="I139" s="1"/>
    </row>
    <row r="140" spans="8:9" x14ac:dyDescent="0.2">
      <c r="H140" s="1"/>
      <c r="I140" s="1"/>
    </row>
    <row r="141" spans="8:9" x14ac:dyDescent="0.2">
      <c r="H141" s="1"/>
      <c r="I141" s="1"/>
    </row>
    <row r="142" spans="8:9" x14ac:dyDescent="0.2">
      <c r="H142" s="1"/>
      <c r="I142" s="1"/>
    </row>
    <row r="143" spans="8:9" x14ac:dyDescent="0.2">
      <c r="H143" s="1"/>
      <c r="I143" s="1"/>
    </row>
    <row r="144" spans="8:9" x14ac:dyDescent="0.2">
      <c r="H144" s="1"/>
      <c r="I144" s="1"/>
    </row>
    <row r="145" spans="8:9" x14ac:dyDescent="0.2">
      <c r="H145" s="1"/>
      <c r="I145" s="1"/>
    </row>
    <row r="146" spans="8:9" x14ac:dyDescent="0.2">
      <c r="H146" s="1"/>
      <c r="I146" s="1"/>
    </row>
    <row r="147" spans="8:9" x14ac:dyDescent="0.2">
      <c r="H147" s="1"/>
      <c r="I147" s="1"/>
    </row>
    <row r="148" spans="8:9" x14ac:dyDescent="0.2">
      <c r="H148" s="1"/>
      <c r="I148" s="1"/>
    </row>
    <row r="149" spans="8:9" x14ac:dyDescent="0.2">
      <c r="H149" s="1"/>
      <c r="I149" s="1"/>
    </row>
    <row r="150" spans="8:9" x14ac:dyDescent="0.2">
      <c r="H150" s="1"/>
      <c r="I150" s="1"/>
    </row>
    <row r="151" spans="8:9" x14ac:dyDescent="0.2">
      <c r="H151" s="1"/>
      <c r="I151" s="1"/>
    </row>
    <row r="152" spans="8:9" x14ac:dyDescent="0.2">
      <c r="H152" s="1"/>
      <c r="I152" s="1"/>
    </row>
    <row r="153" spans="8:9" x14ac:dyDescent="0.2">
      <c r="H153" s="1"/>
      <c r="I153" s="1"/>
    </row>
    <row r="154" spans="8:9" x14ac:dyDescent="0.2">
      <c r="H154" s="1"/>
      <c r="I154" s="1"/>
    </row>
    <row r="155" spans="8:9" x14ac:dyDescent="0.2">
      <c r="H155" s="1"/>
      <c r="I155" s="1"/>
    </row>
    <row r="156" spans="8:9" x14ac:dyDescent="0.2">
      <c r="H156" s="1"/>
      <c r="I156" s="1"/>
    </row>
    <row r="157" spans="8:9" x14ac:dyDescent="0.2">
      <c r="H157" s="1"/>
      <c r="I157" s="1"/>
    </row>
    <row r="158" spans="8:9" x14ac:dyDescent="0.2">
      <c r="H158" s="1"/>
      <c r="I158" s="1"/>
    </row>
    <row r="159" spans="8:9" x14ac:dyDescent="0.2">
      <c r="H159" s="1"/>
      <c r="I159" s="1"/>
    </row>
    <row r="160" spans="8:9" x14ac:dyDescent="0.2">
      <c r="H160" s="1"/>
      <c r="I160" s="1"/>
    </row>
    <row r="161" spans="8:9" x14ac:dyDescent="0.2">
      <c r="H161" s="1"/>
      <c r="I161" s="1"/>
    </row>
    <row r="162" spans="8:9" x14ac:dyDescent="0.2">
      <c r="H162" s="1"/>
      <c r="I162" s="1"/>
    </row>
    <row r="163" spans="8:9" x14ac:dyDescent="0.2">
      <c r="H163" s="1"/>
      <c r="I163" s="1"/>
    </row>
    <row r="164" spans="8:9" x14ac:dyDescent="0.2">
      <c r="H164" s="1"/>
      <c r="I164" s="1"/>
    </row>
  </sheetData>
  <sheetProtection sheet="1" scenarios="1"/>
  <mergeCells count="2">
    <mergeCell ref="N8:O8"/>
    <mergeCell ref="N24:O24"/>
  </mergeCells>
  <hyperlinks>
    <hyperlink ref="F3" r:id="rId1" xr:uid="{00000000-0004-0000-0300-000000000000}"/>
  </hyperlinks>
  <pageMargins left="0.25" right="0.25" top="0.75" bottom="0.75" header="0.3" footer="0.3"/>
  <pageSetup scale="56" orientation="landscape" r:id="rId2"/>
  <colBreaks count="1" manualBreakCount="1">
    <brk id="18" max="53" man="1"/>
  </col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rgb="FFFFFFCC"/>
  </sheetPr>
  <dimension ref="A1:Z59"/>
  <sheetViews>
    <sheetView showGridLines="0" zoomScaleNormal="100" zoomScaleSheetLayoutView="80" workbookViewId="0">
      <selection activeCell="J34" sqref="J34"/>
    </sheetView>
  </sheetViews>
  <sheetFormatPr baseColWidth="10" defaultColWidth="9.1640625" defaultRowHeight="17.25" customHeight="1" x14ac:dyDescent="0.2"/>
  <cols>
    <col min="1" max="1" width="4.6640625" style="329" customWidth="1"/>
    <col min="2" max="2" width="4.83203125" style="329" customWidth="1"/>
    <col min="3" max="3" width="10.6640625" style="23" customWidth="1"/>
    <col min="4" max="4" width="36.1640625" style="23" customWidth="1"/>
    <col min="5" max="5" width="21" style="23" customWidth="1"/>
    <col min="6" max="6" width="18.5" style="23" customWidth="1"/>
    <col min="7" max="7" width="10" style="23" customWidth="1"/>
    <col min="8" max="8" width="18.5" style="23" customWidth="1"/>
    <col min="9" max="9" width="13.33203125" style="23" customWidth="1"/>
    <col min="10" max="10" width="14.33203125" style="23" customWidth="1"/>
    <col min="11" max="11" width="12.33203125" style="23" customWidth="1"/>
    <col min="12" max="12" width="12" style="23" customWidth="1"/>
    <col min="13" max="15" width="15.5" style="24" customWidth="1"/>
    <col min="16" max="20" width="9.1640625" style="29"/>
    <col min="21" max="21" width="19.5" style="29" bestFit="1" customWidth="1"/>
    <col min="22" max="24" width="9.1640625" style="29"/>
    <col min="25" max="16384" width="9.1640625" style="23"/>
  </cols>
  <sheetData>
    <row r="1" spans="1:25" ht="17.25" customHeight="1" x14ac:dyDescent="0.25">
      <c r="A1" s="3" t="s">
        <v>397</v>
      </c>
    </row>
    <row r="3" spans="1:25" ht="17.25" customHeight="1" x14ac:dyDescent="0.2">
      <c r="C3" s="118" t="s">
        <v>394</v>
      </c>
      <c r="E3" s="171">
        <f>1000000-Extra_Cash</f>
        <v>990000</v>
      </c>
    </row>
    <row r="4" spans="1:25" ht="17.25" customHeight="1" x14ac:dyDescent="0.2">
      <c r="C4" s="118" t="s">
        <v>398</v>
      </c>
      <c r="E4" s="171">
        <f>'Policy Portfolio'!G20*1000000</f>
        <v>10000</v>
      </c>
    </row>
    <row r="5" spans="1:25" ht="17.25" customHeight="1" x14ac:dyDescent="0.2">
      <c r="C5" s="118"/>
      <c r="E5" s="170"/>
    </row>
    <row r="6" spans="1:25" ht="17.25" customHeight="1" x14ac:dyDescent="0.25">
      <c r="C6" s="377" t="s">
        <v>399</v>
      </c>
    </row>
    <row r="7" spans="1:25" s="118" customFormat="1" ht="17.25" customHeight="1" x14ac:dyDescent="0.2">
      <c r="A7" s="361"/>
      <c r="B7" s="361"/>
      <c r="C7" s="178" t="s">
        <v>0</v>
      </c>
      <c r="D7" s="49" t="s">
        <v>1</v>
      </c>
      <c r="E7" s="49" t="s">
        <v>32</v>
      </c>
      <c r="F7" s="50" t="s">
        <v>144</v>
      </c>
      <c r="G7" s="50" t="s">
        <v>400</v>
      </c>
      <c r="H7" s="50" t="s">
        <v>401</v>
      </c>
      <c r="I7" s="51" t="s">
        <v>153</v>
      </c>
      <c r="J7" s="51" t="s">
        <v>156</v>
      </c>
      <c r="K7" s="51" t="s">
        <v>171</v>
      </c>
      <c r="L7" s="51" t="s">
        <v>156</v>
      </c>
      <c r="M7" s="51" t="s">
        <v>172</v>
      </c>
      <c r="N7" s="51" t="s">
        <v>157</v>
      </c>
      <c r="O7" s="179" t="s">
        <v>396</v>
      </c>
      <c r="P7" s="359"/>
      <c r="Q7" s="360"/>
      <c r="R7" s="360"/>
      <c r="S7" s="360"/>
      <c r="T7" s="360"/>
      <c r="U7" s="360"/>
      <c r="V7" s="360"/>
      <c r="W7" s="360"/>
      <c r="X7" s="360"/>
      <c r="Y7" s="360"/>
    </row>
    <row r="8" spans="1:25" s="118" customFormat="1" ht="17.25" customHeight="1" x14ac:dyDescent="0.2">
      <c r="A8" s="361"/>
      <c r="B8" s="361"/>
      <c r="C8" s="373"/>
      <c r="D8" s="117" t="s">
        <v>149</v>
      </c>
      <c r="E8" s="117" t="s">
        <v>149</v>
      </c>
      <c r="F8" s="117"/>
      <c r="G8" s="117"/>
      <c r="H8" s="117"/>
      <c r="I8" s="374"/>
      <c r="J8" s="117"/>
      <c r="K8" s="374"/>
      <c r="L8" s="374"/>
      <c r="M8" s="374"/>
      <c r="N8" s="374"/>
      <c r="O8" s="375">
        <f>Initial_Cash+Extra_Cash+SUMIF($O$9:$O$17,"&lt;0",$O$9:$O$17)</f>
        <v>10033.349999999977</v>
      </c>
      <c r="P8" s="376" t="s">
        <v>409</v>
      </c>
      <c r="Q8" s="360"/>
      <c r="R8" s="360"/>
      <c r="S8" s="360"/>
      <c r="T8" s="360"/>
      <c r="U8" s="360"/>
      <c r="V8" s="360"/>
      <c r="W8" s="360"/>
      <c r="X8" s="360"/>
      <c r="Y8" s="360"/>
    </row>
    <row r="9" spans="1:25" ht="15" x14ac:dyDescent="0.2">
      <c r="B9" s="321">
        <f>IF(C9="","",COUNTA($C$9:C9))</f>
        <v>1</v>
      </c>
      <c r="C9" s="254" t="str">
        <f>'Policy Portfolio'!H21</f>
        <v>BWX</v>
      </c>
      <c r="D9" s="255" t="str">
        <f>IF(C9="","",VLOOKUP(C9,'ETF List'!$C$1:$J$200,3,0))</f>
        <v>SPDR BBG Barclays Intl Treasury</v>
      </c>
      <c r="E9" s="256" t="str">
        <f>IF(C9="","",VLOOKUP(C9,'ETF List'!$C$1:$J$200,4,0))</f>
        <v>Bonds</v>
      </c>
      <c r="F9" s="256" t="str">
        <f>IF(C9="","",VLOOKUP(C9,'ETF List'!$C$1:$J$200,5,0))</f>
        <v>Sovereigns</v>
      </c>
      <c r="G9" s="256" t="str">
        <f>IF(C9="","","Buy")</f>
        <v>Buy</v>
      </c>
      <c r="H9" s="256"/>
      <c r="I9" s="356">
        <f>IF(C9="","",ROUND('Policy Portfolio'!G21*(Initial_Cash+Extra_Cash)/J9,0))</f>
        <v>10132</v>
      </c>
      <c r="J9" s="545">
        <v>29.61</v>
      </c>
      <c r="K9" s="695">
        <v>44265</v>
      </c>
      <c r="L9" s="266"/>
      <c r="M9" s="267"/>
      <c r="N9" s="267"/>
      <c r="O9" s="258">
        <f>IF(C9="","",-I9*J9)</f>
        <v>-300008.52</v>
      </c>
      <c r="P9" s="28"/>
      <c r="Y9" s="29"/>
    </row>
    <row r="10" spans="1:25" ht="15" x14ac:dyDescent="0.2">
      <c r="B10" s="321">
        <f>IF(C10="","",COUNTA($C$9:C10))</f>
        <v>2</v>
      </c>
      <c r="C10" s="241" t="str">
        <f>'Policy Portfolio'!H22</f>
        <v>VTI</v>
      </c>
      <c r="D10" s="30" t="str">
        <f>IF(C10="","",VLOOKUP(C10,'ETF List'!$C$1:$J$200,3,0))</f>
        <v xml:space="preserve">Vanguard Total Stock Mrkt </v>
      </c>
      <c r="E10" s="31" t="str">
        <f>IF(C10="","",VLOOKUP(C10,'ETF List'!$C$1:$J$200,4,0))</f>
        <v>US Equity</v>
      </c>
      <c r="F10" s="31" t="str">
        <f>IF(C10="","",VLOOKUP(C10,'ETF List'!$C$1:$J$200,5,0))</f>
        <v>Broad Mrkt</v>
      </c>
      <c r="G10" s="31" t="str">
        <f t="shared" ref="G10:G17" si="0">IF(C10="","","Buy")</f>
        <v>Buy</v>
      </c>
      <c r="H10" s="31"/>
      <c r="I10" s="357">
        <f>IF(C10="","",ROUND('Policy Portfolio'!G22*(Initial_Cash+Extra_Cash)/J10,0))</f>
        <v>3583</v>
      </c>
      <c r="J10" s="546">
        <v>97.67</v>
      </c>
      <c r="K10" s="695">
        <v>44265</v>
      </c>
      <c r="M10" s="261"/>
      <c r="N10" s="261"/>
      <c r="O10" s="180">
        <f t="shared" ref="O10:O17" si="1">IF(C10="","",-I10*J10)</f>
        <v>-349951.61</v>
      </c>
      <c r="P10" s="28"/>
      <c r="Y10" s="29"/>
    </row>
    <row r="11" spans="1:25" ht="15" x14ac:dyDescent="0.2">
      <c r="B11" s="321">
        <f>IF(C11="","",COUNTA($C$9:C11))</f>
        <v>3</v>
      </c>
      <c r="C11" s="241" t="str">
        <f>'Policy Portfolio'!H23</f>
        <v>IAU</v>
      </c>
      <c r="D11" s="30" t="str">
        <f>IF(C11="","",VLOOKUP(C11,'ETF List'!$C$1:$J$200,3,0))</f>
        <v>iShares Gold Trust</v>
      </c>
      <c r="E11" s="31" t="str">
        <f>IF(C11="","",VLOOKUP(C11,'ETF List'!$C$1:$J$200,4,0))</f>
        <v>Alternatives</v>
      </c>
      <c r="F11" s="31" t="str">
        <f>IF(C11="","",VLOOKUP(C11,'ETF List'!$C$1:$J$200,5,0))</f>
        <v>Commodity</v>
      </c>
      <c r="G11" s="31" t="str">
        <f t="shared" si="0"/>
        <v>Buy</v>
      </c>
      <c r="H11" s="31"/>
      <c r="I11" s="357">
        <f>IF(C11="","",ROUND('Policy Portfolio'!G23*(Initial_Cash+Extra_Cash)/J11,0))</f>
        <v>21014</v>
      </c>
      <c r="J11" s="546">
        <v>16.18</v>
      </c>
      <c r="K11" s="695">
        <v>44265</v>
      </c>
      <c r="M11" s="261"/>
      <c r="N11" s="261"/>
      <c r="O11" s="180">
        <f t="shared" si="1"/>
        <v>-340006.52</v>
      </c>
      <c r="P11" s="28"/>
      <c r="Y11" s="29"/>
    </row>
    <row r="12" spans="1:25" ht="15" x14ac:dyDescent="0.2">
      <c r="B12" s="321" t="str">
        <f>IF(C12="","",COUNTA($C$9:C12))</f>
        <v/>
      </c>
      <c r="C12" s="241" t="str">
        <f>'Policy Portfolio'!H24</f>
        <v/>
      </c>
      <c r="D12" s="30" t="str">
        <f>IF(C12="","",VLOOKUP(C12,'ETF List'!$C$1:$J$200,3,0))</f>
        <v/>
      </c>
      <c r="E12" s="31" t="str">
        <f>IF(C12="","",VLOOKUP(C12,'ETF List'!$C$1:$J$200,4,0))</f>
        <v/>
      </c>
      <c r="F12" s="31" t="str">
        <f>IF(C12="","",VLOOKUP(C12,'ETF List'!$C$1:$J$200,5,0))</f>
        <v/>
      </c>
      <c r="G12" s="31" t="str">
        <f t="shared" si="0"/>
        <v/>
      </c>
      <c r="H12" s="31"/>
      <c r="I12" s="357" t="str">
        <f>IF(C12="","",ROUND('Policy Portfolio'!G24*(Initial_Cash+Extra_Cash)/J12,0))</f>
        <v/>
      </c>
      <c r="J12" s="546"/>
      <c r="K12" s="253" t="str">
        <f>IF(C12="","",'Policy Portfolio'!$F$13-3)</f>
        <v/>
      </c>
      <c r="M12" s="261"/>
      <c r="N12" s="261"/>
      <c r="O12" s="180" t="str">
        <f t="shared" si="1"/>
        <v/>
      </c>
      <c r="P12" s="28"/>
      <c r="Y12" s="29"/>
    </row>
    <row r="13" spans="1:25" ht="15" x14ac:dyDescent="0.2">
      <c r="B13" s="321" t="str">
        <f>IF(C13="","",COUNTA($C$9:C13))</f>
        <v/>
      </c>
      <c r="C13" s="241" t="str">
        <f>'Policy Portfolio'!H25</f>
        <v/>
      </c>
      <c r="D13" s="30" t="str">
        <f>IF(C13="","",VLOOKUP(C13,'ETF List'!$C$1:$J$200,3,0))</f>
        <v/>
      </c>
      <c r="E13" s="31" t="str">
        <f>IF(C13="","",VLOOKUP(C13,'ETF List'!$C$1:$J$200,4,0))</f>
        <v/>
      </c>
      <c r="F13" s="31" t="str">
        <f>IF(C13="","",VLOOKUP(C13,'ETF List'!$C$1:$J$200,5,0))</f>
        <v/>
      </c>
      <c r="G13" s="31" t="str">
        <f t="shared" si="0"/>
        <v/>
      </c>
      <c r="H13" s="31"/>
      <c r="I13" s="357" t="str">
        <f>IF(C13="","",ROUND('Policy Portfolio'!G25*(Initial_Cash+Extra_Cash)/J13,0))</f>
        <v/>
      </c>
      <c r="J13" s="546"/>
      <c r="K13" s="253" t="str">
        <f>IF(C13="","",'Policy Portfolio'!$F$13-3)</f>
        <v/>
      </c>
      <c r="M13" s="261"/>
      <c r="N13" s="261"/>
      <c r="O13" s="180" t="str">
        <f t="shared" si="1"/>
        <v/>
      </c>
      <c r="P13" s="28"/>
      <c r="Y13" s="29"/>
    </row>
    <row r="14" spans="1:25" ht="15" x14ac:dyDescent="0.2">
      <c r="B14" s="321" t="str">
        <f>IF(C14="","",COUNTA($C$9:C14))</f>
        <v/>
      </c>
      <c r="C14" s="241" t="str">
        <f>'Policy Portfolio'!H26</f>
        <v/>
      </c>
      <c r="D14" s="30" t="str">
        <f>IF(C14="","",VLOOKUP(C14,'ETF List'!$C$1:$J$200,3,0))</f>
        <v/>
      </c>
      <c r="E14" s="31" t="str">
        <f>IF(C14="","",VLOOKUP(C14,'ETF List'!$C$1:$J$200,4,0))</f>
        <v/>
      </c>
      <c r="F14" s="31" t="str">
        <f>IF(C14="","",VLOOKUP(C14,'ETF List'!$C$1:$J$200,5,0))</f>
        <v/>
      </c>
      <c r="G14" s="31" t="str">
        <f t="shared" si="0"/>
        <v/>
      </c>
      <c r="H14" s="31"/>
      <c r="I14" s="357" t="str">
        <f>IF(C14="","",ROUND('Policy Portfolio'!G26*(Initial_Cash+Extra_Cash)/J14,0))</f>
        <v/>
      </c>
      <c r="J14" s="546"/>
      <c r="K14" s="253" t="str">
        <f>IF(C14="","",'Policy Portfolio'!$F$13-3)</f>
        <v/>
      </c>
      <c r="M14" s="261"/>
      <c r="N14" s="261"/>
      <c r="O14" s="180" t="str">
        <f t="shared" si="1"/>
        <v/>
      </c>
      <c r="P14" s="28"/>
      <c r="Y14" s="29"/>
    </row>
    <row r="15" spans="1:25" ht="15" x14ac:dyDescent="0.2">
      <c r="B15" s="321" t="str">
        <f>IF(C15="","",COUNTA($C$9:C15))</f>
        <v/>
      </c>
      <c r="C15" s="241" t="str">
        <f>'Policy Portfolio'!H27</f>
        <v/>
      </c>
      <c r="D15" s="30" t="str">
        <f>IF(C15="","",VLOOKUP(C15,'ETF List'!$C$1:$J$200,3,0))</f>
        <v/>
      </c>
      <c r="E15" s="31" t="str">
        <f>IF(C15="","",VLOOKUP(C15,'ETF List'!$C$1:$J$200,4,0))</f>
        <v/>
      </c>
      <c r="F15" s="31" t="str">
        <f>IF(C15="","",VLOOKUP(C15,'ETF List'!$C$1:$J$200,5,0))</f>
        <v/>
      </c>
      <c r="G15" s="31" t="str">
        <f t="shared" si="0"/>
        <v/>
      </c>
      <c r="H15" s="31"/>
      <c r="I15" s="357" t="str">
        <f>IF(C15="","",ROUND('Policy Portfolio'!G27*(Initial_Cash+Extra_Cash)/J15,0))</f>
        <v/>
      </c>
      <c r="J15" s="546"/>
      <c r="K15" s="253" t="str">
        <f>IF(C15="","",'Policy Portfolio'!$F$13-3)</f>
        <v/>
      </c>
      <c r="M15" s="261"/>
      <c r="N15" s="261"/>
      <c r="O15" s="180" t="str">
        <f t="shared" si="1"/>
        <v/>
      </c>
      <c r="P15" s="28"/>
      <c r="Y15" s="29"/>
    </row>
    <row r="16" spans="1:25" ht="15" x14ac:dyDescent="0.2">
      <c r="B16" s="321" t="str">
        <f>IF(C16="","",COUNTA($C$9:C16))</f>
        <v/>
      </c>
      <c r="C16" s="241" t="str">
        <f>'Policy Portfolio'!H28</f>
        <v/>
      </c>
      <c r="D16" s="30" t="str">
        <f>IF(C16="","",VLOOKUP(C16,'ETF List'!$C$1:$J$200,3,0))</f>
        <v/>
      </c>
      <c r="E16" s="31" t="str">
        <f>IF(C16="","",VLOOKUP(C16,'ETF List'!$C$1:$J$200,4,0))</f>
        <v/>
      </c>
      <c r="F16" s="31" t="str">
        <f>IF(C16="","",VLOOKUP(C16,'ETF List'!$C$1:$J$200,5,0))</f>
        <v/>
      </c>
      <c r="G16" s="31" t="str">
        <f t="shared" si="0"/>
        <v/>
      </c>
      <c r="H16" s="31"/>
      <c r="I16" s="357" t="str">
        <f>IF(C16="","",ROUND('Policy Portfolio'!G28*(Initial_Cash+Extra_Cash)/J16,0))</f>
        <v/>
      </c>
      <c r="J16" s="546"/>
      <c r="K16" s="253" t="str">
        <f>IF(C16="","",'Policy Portfolio'!$F$13-3)</f>
        <v/>
      </c>
      <c r="M16" s="261"/>
      <c r="N16" s="261"/>
      <c r="O16" s="180" t="str">
        <f t="shared" si="1"/>
        <v/>
      </c>
      <c r="P16" s="28"/>
      <c r="Y16" s="29"/>
    </row>
    <row r="17" spans="1:26" ht="15" x14ac:dyDescent="0.2">
      <c r="B17" s="321" t="str">
        <f>IF(C17="","",COUNTA($C$9:C17))</f>
        <v/>
      </c>
      <c r="C17" s="259" t="str">
        <f>'Policy Portfolio'!H29</f>
        <v/>
      </c>
      <c r="D17" s="181" t="str">
        <f>IF(C17="","",VLOOKUP(C17,'ETF List'!$C$1:$J$200,3,0))</f>
        <v/>
      </c>
      <c r="E17" s="182" t="str">
        <f>IF(C17="","",VLOOKUP(C17,'ETF List'!$C$1:$J$200,4,0))</f>
        <v/>
      </c>
      <c r="F17" s="182" t="str">
        <f>IF(C17="","",VLOOKUP(C17,'ETF List'!$C$1:$J$200,5,0))</f>
        <v/>
      </c>
      <c r="G17" s="182" t="str">
        <f t="shared" si="0"/>
        <v/>
      </c>
      <c r="H17" s="182"/>
      <c r="I17" s="358" t="str">
        <f>IF(C17="","",ROUND('Policy Portfolio'!G29*(Initial_Cash+Extra_Cash)/J17,0))</f>
        <v/>
      </c>
      <c r="J17" s="547"/>
      <c r="K17" s="260" t="str">
        <f>IF(C17="","",'Policy Portfolio'!$F$13-3)</f>
        <v/>
      </c>
      <c r="L17" s="268"/>
      <c r="M17" s="262"/>
      <c r="N17" s="262"/>
      <c r="O17" s="183" t="str">
        <f t="shared" si="1"/>
        <v/>
      </c>
      <c r="P17" s="28"/>
      <c r="Y17" s="29"/>
    </row>
    <row r="18" spans="1:26" ht="15" x14ac:dyDescent="0.2">
      <c r="B18" s="321"/>
      <c r="C18" s="32"/>
      <c r="D18" s="32"/>
      <c r="E18" s="32"/>
      <c r="F18" s="32"/>
      <c r="G18" s="32"/>
      <c r="H18" s="32"/>
      <c r="I18" s="32"/>
      <c r="J18" s="32"/>
      <c r="K18" s="32"/>
      <c r="L18" s="32"/>
      <c r="M18" s="32"/>
      <c r="N18" s="32"/>
      <c r="O18" s="32"/>
      <c r="P18" s="28"/>
      <c r="Y18" s="29"/>
    </row>
    <row r="19" spans="1:26" ht="15" x14ac:dyDescent="0.2">
      <c r="B19" s="321"/>
      <c r="C19" s="32"/>
      <c r="D19" s="32"/>
      <c r="E19" s="32"/>
      <c r="F19" s="32"/>
      <c r="G19" s="32"/>
      <c r="H19" s="32"/>
      <c r="I19" s="32"/>
      <c r="J19" s="32"/>
      <c r="K19" s="32"/>
      <c r="L19" s="32"/>
      <c r="M19" s="32"/>
      <c r="N19" s="32"/>
      <c r="O19" s="32"/>
      <c r="P19" s="28"/>
      <c r="Y19" s="29"/>
    </row>
    <row r="20" spans="1:26" s="261" customFormat="1" ht="3.75" customHeight="1" x14ac:dyDescent="0.2">
      <c r="A20" s="327"/>
      <c r="B20" s="327"/>
      <c r="C20" s="297"/>
      <c r="D20" s="297"/>
      <c r="E20" s="297"/>
      <c r="F20" s="297"/>
      <c r="G20" s="297"/>
      <c r="H20" s="297"/>
      <c r="I20" s="297"/>
      <c r="J20" s="297"/>
      <c r="K20" s="297"/>
      <c r="L20" s="297"/>
      <c r="M20" s="297"/>
      <c r="N20" s="297"/>
      <c r="O20" s="297"/>
      <c r="P20" s="298"/>
      <c r="Q20" s="296"/>
      <c r="R20" s="296"/>
      <c r="S20" s="296"/>
      <c r="T20" s="296"/>
      <c r="U20" s="296"/>
      <c r="V20" s="296"/>
      <c r="W20" s="296"/>
      <c r="X20" s="296"/>
      <c r="Y20" s="296"/>
    </row>
    <row r="21" spans="1:26" s="31" customFormat="1" ht="15" x14ac:dyDescent="0.2">
      <c r="A21" s="328"/>
      <c r="B21" s="328"/>
      <c r="C21" s="32"/>
      <c r="D21" s="32"/>
      <c r="E21" s="32"/>
      <c r="F21" s="32"/>
      <c r="G21" s="32"/>
      <c r="H21" s="32"/>
      <c r="I21" s="32"/>
      <c r="J21" s="32"/>
      <c r="K21" s="32"/>
      <c r="L21" s="32"/>
      <c r="M21" s="32"/>
      <c r="N21" s="32"/>
      <c r="O21" s="32"/>
      <c r="P21" s="300"/>
      <c r="Q21" s="299"/>
      <c r="R21" s="299"/>
      <c r="S21" s="299"/>
      <c r="T21" s="299"/>
      <c r="U21" s="299"/>
      <c r="V21" s="299"/>
      <c r="W21" s="299"/>
      <c r="X21" s="299"/>
      <c r="Y21" s="299"/>
    </row>
    <row r="22" spans="1:26" ht="15" x14ac:dyDescent="0.2">
      <c r="B22" s="321"/>
      <c r="C22" s="32"/>
      <c r="D22" s="32"/>
      <c r="E22" s="32"/>
      <c r="F22" s="32"/>
      <c r="G22" s="32"/>
      <c r="H22" s="32"/>
      <c r="I22" s="32"/>
      <c r="J22" s="32"/>
      <c r="K22" s="32"/>
      <c r="L22" s="32"/>
      <c r="M22" s="32"/>
      <c r="N22" s="32"/>
      <c r="O22" s="32"/>
      <c r="P22" s="28"/>
      <c r="Y22" s="29"/>
    </row>
    <row r="23" spans="1:26" ht="15" x14ac:dyDescent="0.2">
      <c r="C23" s="26"/>
      <c r="D23" s="26"/>
      <c r="E23" s="26"/>
      <c r="F23" s="26"/>
      <c r="G23" s="27"/>
      <c r="H23" s="27"/>
      <c r="I23" s="27"/>
      <c r="J23" s="27"/>
      <c r="K23" s="27"/>
      <c r="L23" s="27"/>
      <c r="M23" s="28"/>
      <c r="N23" s="28"/>
      <c r="O23" s="28"/>
    </row>
    <row r="24" spans="1:26" ht="15" x14ac:dyDescent="0.2">
      <c r="C24" s="26"/>
      <c r="D24" s="26"/>
      <c r="E24" s="26"/>
      <c r="F24" s="26"/>
      <c r="G24" s="27"/>
      <c r="H24" s="27"/>
      <c r="I24" s="27"/>
      <c r="J24" s="27"/>
      <c r="K24" s="27"/>
      <c r="L24" s="27"/>
      <c r="M24" s="28"/>
      <c r="N24" s="28"/>
      <c r="O24" s="28"/>
    </row>
    <row r="25" spans="1:26" ht="15" x14ac:dyDescent="0.2">
      <c r="C25" s="116" t="s">
        <v>337</v>
      </c>
      <c r="D25" s="115"/>
      <c r="E25" s="114"/>
      <c r="F25" s="26"/>
      <c r="G25" s="27"/>
      <c r="H25" s="27"/>
      <c r="I25" s="27"/>
      <c r="J25" s="27"/>
      <c r="K25" s="27"/>
      <c r="L25" s="27"/>
      <c r="M25" s="28"/>
      <c r="N25" s="28"/>
      <c r="O25" s="28"/>
    </row>
    <row r="26" spans="1:26" s="118" customFormat="1" ht="15" x14ac:dyDescent="0.2">
      <c r="A26" s="361"/>
      <c r="B26" s="361"/>
      <c r="C26" s="362" t="s">
        <v>349</v>
      </c>
      <c r="D26" s="49" t="s">
        <v>338</v>
      </c>
      <c r="E26" s="49" t="s">
        <v>464</v>
      </c>
      <c r="F26" s="26"/>
      <c r="G26" s="27"/>
      <c r="H26" s="27"/>
      <c r="I26" s="27"/>
      <c r="J26" s="27"/>
      <c r="K26" s="27"/>
      <c r="L26" s="27"/>
      <c r="M26" s="28"/>
      <c r="N26" s="28"/>
      <c r="O26" s="28"/>
      <c r="P26" s="360"/>
      <c r="Q26" s="360"/>
      <c r="R26" s="360"/>
      <c r="S26" s="360"/>
      <c r="T26" s="360"/>
      <c r="U26" s="360"/>
      <c r="V26" s="360"/>
      <c r="W26" s="360"/>
      <c r="X26" s="360"/>
    </row>
    <row r="27" spans="1:26" ht="15" x14ac:dyDescent="0.2">
      <c r="C27" s="569">
        <v>0.2</v>
      </c>
      <c r="D27" s="546">
        <v>101.54</v>
      </c>
      <c r="E27" s="372">
        <f>ROUND(Initial_Cash*C27/D27,0)</f>
        <v>1950</v>
      </c>
      <c r="F27" s="26"/>
      <c r="G27" s="27"/>
      <c r="H27" s="27"/>
      <c r="I27" s="27"/>
      <c r="J27" s="27"/>
      <c r="K27" s="27"/>
      <c r="L27" s="27"/>
      <c r="M27" s="28"/>
      <c r="N27" s="28"/>
      <c r="O27" s="28"/>
    </row>
    <row r="28" spans="1:26" ht="15" x14ac:dyDescent="0.2">
      <c r="C28" s="263"/>
      <c r="D28" s="263"/>
      <c r="E28" s="263"/>
      <c r="F28" s="26"/>
      <c r="G28" s="27"/>
      <c r="H28" s="27"/>
      <c r="I28" s="27"/>
      <c r="J28" s="27"/>
      <c r="K28" s="27"/>
      <c r="L28" s="27"/>
      <c r="M28" s="28"/>
      <c r="N28" s="28"/>
      <c r="O28" s="28"/>
    </row>
    <row r="29" spans="1:26" ht="19" x14ac:dyDescent="0.25">
      <c r="C29" s="378" t="s">
        <v>407</v>
      </c>
      <c r="D29" s="26"/>
      <c r="E29" s="26"/>
      <c r="F29" s="26"/>
      <c r="G29" s="27"/>
      <c r="H29" s="27"/>
      <c r="I29" s="27"/>
      <c r="J29" s="27"/>
      <c r="K29" s="27"/>
      <c r="L29" s="27"/>
      <c r="M29" s="28"/>
      <c r="N29" s="28"/>
      <c r="O29" s="28"/>
    </row>
    <row r="30" spans="1:26" ht="45.5" customHeight="1" x14ac:dyDescent="0.2">
      <c r="C30" s="178" t="s">
        <v>0</v>
      </c>
      <c r="D30" s="49" t="s">
        <v>1</v>
      </c>
      <c r="E30" s="49" t="s">
        <v>32</v>
      </c>
      <c r="F30" s="50" t="s">
        <v>144</v>
      </c>
      <c r="G30" s="50" t="s">
        <v>400</v>
      </c>
      <c r="H30" s="50" t="s">
        <v>401</v>
      </c>
      <c r="I30" s="51" t="s">
        <v>153</v>
      </c>
      <c r="J30" s="51" t="s">
        <v>188</v>
      </c>
      <c r="K30" s="51" t="s">
        <v>171</v>
      </c>
      <c r="L30" s="51" t="s">
        <v>156</v>
      </c>
      <c r="M30" s="51" t="s">
        <v>172</v>
      </c>
      <c r="N30" s="51" t="s">
        <v>157</v>
      </c>
      <c r="O30" s="179" t="s">
        <v>396</v>
      </c>
      <c r="P30" s="23"/>
      <c r="Q30" s="23"/>
      <c r="R30" s="23"/>
      <c r="S30" s="23"/>
      <c r="U30" s="304"/>
      <c r="Y30" s="29"/>
      <c r="Z30" s="29"/>
    </row>
    <row r="31" spans="1:26" s="118" customFormat="1" ht="15" x14ac:dyDescent="0.2">
      <c r="A31" s="361"/>
      <c r="B31" s="361"/>
      <c r="C31" s="373"/>
      <c r="D31" s="117" t="s">
        <v>149</v>
      </c>
      <c r="E31" s="117" t="s">
        <v>149</v>
      </c>
      <c r="F31" s="117"/>
      <c r="G31" s="117"/>
      <c r="H31" s="117"/>
      <c r="I31" s="374"/>
      <c r="J31" s="117"/>
      <c r="K31" s="374"/>
      <c r="L31" s="374"/>
      <c r="M31" s="374"/>
      <c r="N31" s="374"/>
      <c r="O31" s="375">
        <f>Initial_Cash+Extra_Cash+SUMIF($O$9:$O$17,"&lt;0",$O$9:$O$17)+SUM($O$32:$O$59)</f>
        <v>10025.549999999988</v>
      </c>
      <c r="P31" s="376" t="s">
        <v>410</v>
      </c>
      <c r="T31" s="360"/>
      <c r="U31" s="360"/>
      <c r="V31" s="360"/>
      <c r="W31" s="360"/>
      <c r="X31" s="360"/>
      <c r="Y31" s="360"/>
      <c r="Z31" s="360"/>
    </row>
    <row r="32" spans="1:26" ht="17.25" customHeight="1" x14ac:dyDescent="0.2">
      <c r="B32" s="321">
        <f>MAX(B9:B17)+1</f>
        <v>4</v>
      </c>
      <c r="C32" s="566" t="s">
        <v>59</v>
      </c>
      <c r="D32" s="255" t="str">
        <f>IF(C32="","",VLOOKUP(C32,'ETF List'!$C$1:$J$200,3,0))</f>
        <v xml:space="preserve">iShares Eurozone </v>
      </c>
      <c r="E32" s="256" t="str">
        <f>IF(C32="","",VLOOKUP(C32,'ETF List'!$C$1:$J$200,4,0))</f>
        <v>Intl Equity</v>
      </c>
      <c r="F32" s="256" t="str">
        <f>IF(C32="","",VLOOKUP(C32,'ETF List'!$C$1:$J$200,5,0))</f>
        <v>Developed Mrkts</v>
      </c>
      <c r="G32" s="570" t="s">
        <v>476</v>
      </c>
      <c r="H32" s="697">
        <v>44272</v>
      </c>
      <c r="I32" s="548">
        <v>4231</v>
      </c>
      <c r="J32" s="545">
        <v>46.8</v>
      </c>
      <c r="K32" s="698">
        <f>IF(G32="Buy",H32,"")</f>
        <v>44272</v>
      </c>
      <c r="L32" s="264">
        <f>IF(G32="Buy",J32,"")</f>
        <v>46.8</v>
      </c>
      <c r="M32" s="257" t="str">
        <f>IF(G32="Sell",H32,"")</f>
        <v/>
      </c>
      <c r="N32" s="264" t="str">
        <f>IF(G32="Sell",J32,"")</f>
        <v/>
      </c>
      <c r="O32" s="265">
        <f>IF(G32="Sell",I32*N32,IF(G32="Buy",-I32*L32,""))</f>
        <v>-198010.8</v>
      </c>
      <c r="P32" s="23"/>
      <c r="Q32" s="23"/>
      <c r="R32" s="23"/>
      <c r="S32" s="23"/>
      <c r="U32" s="305"/>
      <c r="Y32" s="29"/>
      <c r="Z32" s="29"/>
    </row>
    <row r="33" spans="2:26" ht="17.25" customHeight="1" x14ac:dyDescent="0.2">
      <c r="B33" s="321">
        <f>B32+1</f>
        <v>5</v>
      </c>
      <c r="C33" s="567" t="s">
        <v>52</v>
      </c>
      <c r="D33" s="30" t="str">
        <f>IF(C33="","",VLOOKUP(C33,'ETF List'!$C$1:$J$200,3,0))</f>
        <v xml:space="preserve">Vanguard Total Stock Mrkt </v>
      </c>
      <c r="E33" s="31" t="str">
        <f>IF(C33="","",VLOOKUP(C33,'ETF List'!$C$1:$J$200,4,0))</f>
        <v>US Equity</v>
      </c>
      <c r="F33" s="31" t="str">
        <f>IF(C33="","",VLOOKUP(C33,'ETF List'!$C$1:$J$200,5,0))</f>
        <v>Broad Mrkt</v>
      </c>
      <c r="G33" s="571" t="s">
        <v>477</v>
      </c>
      <c r="H33" s="697">
        <v>44272</v>
      </c>
      <c r="I33" s="550">
        <v>1950</v>
      </c>
      <c r="J33" s="546">
        <v>101.54</v>
      </c>
      <c r="K33" s="253" t="str">
        <f t="shared" ref="K33:K59" si="2">IF(G33="Buy",H33,"")</f>
        <v/>
      </c>
      <c r="L33" s="269" t="str">
        <f t="shared" ref="L33:L59" si="3">IF(G33="Buy",J33,"")</f>
        <v/>
      </c>
      <c r="M33" s="253">
        <f t="shared" ref="M33:M59" si="4">IF(G33="Sell",H33,"")</f>
        <v>44272</v>
      </c>
      <c r="N33" s="269">
        <f t="shared" ref="N33:N59" si="5">IF(G33="Sell",J33,"")</f>
        <v>101.54</v>
      </c>
      <c r="O33" s="270">
        <f t="shared" ref="O33:O59" si="6">IF(G33="Sell",I33*N33,IF(G33="Buy",-I33*L33,""))</f>
        <v>198003</v>
      </c>
      <c r="P33" s="23"/>
      <c r="Q33" s="23"/>
      <c r="R33" s="23"/>
      <c r="S33" s="23"/>
      <c r="Y33" s="29"/>
      <c r="Z33" s="29"/>
    </row>
    <row r="34" spans="2:26" ht="17.25" customHeight="1" x14ac:dyDescent="0.2">
      <c r="B34" s="321">
        <f t="shared" ref="B34:B59" si="7">B33+1</f>
        <v>6</v>
      </c>
      <c r="C34" s="567"/>
      <c r="D34" s="30" t="str">
        <f>IF(C34="","",VLOOKUP(C34,'ETF List'!$C$1:$J$200,3,0))</f>
        <v/>
      </c>
      <c r="E34" s="31" t="str">
        <f>IF(C34="","",VLOOKUP(C34,'ETF List'!$C$1:$J$200,4,0))</f>
        <v/>
      </c>
      <c r="F34" s="31" t="str">
        <f>IF(C34="","",VLOOKUP(C34,'ETF List'!$C$1:$J$200,5,0))</f>
        <v/>
      </c>
      <c r="G34" s="571"/>
      <c r="H34" s="549"/>
      <c r="I34" s="550"/>
      <c r="J34" s="546"/>
      <c r="K34" s="253" t="str">
        <f t="shared" si="2"/>
        <v/>
      </c>
      <c r="L34" s="269" t="str">
        <f t="shared" si="3"/>
        <v/>
      </c>
      <c r="M34" s="253" t="str">
        <f t="shared" si="4"/>
        <v/>
      </c>
      <c r="N34" s="269" t="str">
        <f t="shared" si="5"/>
        <v/>
      </c>
      <c r="O34" s="270" t="str">
        <f t="shared" si="6"/>
        <v/>
      </c>
      <c r="P34" s="23"/>
      <c r="Q34" s="23"/>
      <c r="R34" s="23"/>
      <c r="S34" s="23"/>
      <c r="Y34" s="29"/>
      <c r="Z34" s="29"/>
    </row>
    <row r="35" spans="2:26" ht="17.25" customHeight="1" x14ac:dyDescent="0.2">
      <c r="B35" s="321">
        <f t="shared" si="7"/>
        <v>7</v>
      </c>
      <c r="C35" s="567"/>
      <c r="D35" s="30" t="str">
        <f>IF(C35="","",VLOOKUP(C35,'ETF List'!$C$1:$J$200,3,0))</f>
        <v/>
      </c>
      <c r="E35" s="31" t="str">
        <f>IF(C35="","",VLOOKUP(C35,'ETF List'!$C$1:$J$200,4,0))</f>
        <v/>
      </c>
      <c r="F35" s="31" t="str">
        <f>IF(C35="","",VLOOKUP(C35,'ETF List'!$C$1:$J$200,5,0))</f>
        <v/>
      </c>
      <c r="G35" s="571"/>
      <c r="H35" s="549"/>
      <c r="I35" s="550"/>
      <c r="J35" s="546"/>
      <c r="K35" s="253" t="str">
        <f t="shared" si="2"/>
        <v/>
      </c>
      <c r="L35" s="269" t="str">
        <f t="shared" si="3"/>
        <v/>
      </c>
      <c r="M35" s="253" t="str">
        <f t="shared" si="4"/>
        <v/>
      </c>
      <c r="N35" s="269" t="str">
        <f t="shared" si="5"/>
        <v/>
      </c>
      <c r="O35" s="270" t="str">
        <f t="shared" si="6"/>
        <v/>
      </c>
      <c r="P35" s="23"/>
      <c r="Q35" s="23"/>
      <c r="R35" s="23"/>
      <c r="S35" s="23"/>
      <c r="Y35" s="29"/>
      <c r="Z35" s="29"/>
    </row>
    <row r="36" spans="2:26" ht="17.25" customHeight="1" x14ac:dyDescent="0.2">
      <c r="B36" s="321">
        <f t="shared" si="7"/>
        <v>8</v>
      </c>
      <c r="C36" s="567"/>
      <c r="D36" s="30" t="str">
        <f>IF(C36="","",VLOOKUP(C36,'ETF List'!$C$1:$J$200,3,0))</f>
        <v/>
      </c>
      <c r="E36" s="31" t="str">
        <f>IF(C36="","",VLOOKUP(C36,'ETF List'!$C$1:$J$200,4,0))</f>
        <v/>
      </c>
      <c r="F36" s="31" t="str">
        <f>IF(C36="","",VLOOKUP(C36,'ETF List'!$C$1:$J$200,5,0))</f>
        <v/>
      </c>
      <c r="G36" s="571"/>
      <c r="H36" s="549"/>
      <c r="I36" s="550"/>
      <c r="J36" s="546"/>
      <c r="K36" s="253" t="str">
        <f t="shared" si="2"/>
        <v/>
      </c>
      <c r="L36" s="269" t="str">
        <f t="shared" si="3"/>
        <v/>
      </c>
      <c r="M36" s="253" t="str">
        <f t="shared" si="4"/>
        <v/>
      </c>
      <c r="N36" s="269" t="str">
        <f t="shared" si="5"/>
        <v/>
      </c>
      <c r="O36" s="270" t="str">
        <f t="shared" si="6"/>
        <v/>
      </c>
      <c r="P36" s="23"/>
      <c r="Q36" s="23"/>
      <c r="R36" s="23"/>
      <c r="S36" s="23"/>
      <c r="Y36" s="29"/>
      <c r="Z36" s="29"/>
    </row>
    <row r="37" spans="2:26" ht="17.25" customHeight="1" x14ac:dyDescent="0.2">
      <c r="B37" s="321">
        <f t="shared" si="7"/>
        <v>9</v>
      </c>
      <c r="C37" s="567"/>
      <c r="D37" s="30" t="str">
        <f>IF(C37="","",VLOOKUP(C37,'ETF List'!$C$1:$J$200,3,0))</f>
        <v/>
      </c>
      <c r="E37" s="31" t="str">
        <f>IF(C37="","",VLOOKUP(C37,'ETF List'!$C$1:$J$200,4,0))</f>
        <v/>
      </c>
      <c r="F37" s="31" t="str">
        <f>IF(C37="","",VLOOKUP(C37,'ETF List'!$C$1:$J$200,5,0))</f>
        <v/>
      </c>
      <c r="G37" s="571"/>
      <c r="H37" s="549"/>
      <c r="I37" s="550"/>
      <c r="J37" s="546"/>
      <c r="K37" s="253" t="str">
        <f t="shared" si="2"/>
        <v/>
      </c>
      <c r="L37" s="269" t="str">
        <f t="shared" si="3"/>
        <v/>
      </c>
      <c r="M37" s="253" t="str">
        <f t="shared" si="4"/>
        <v/>
      </c>
      <c r="N37" s="269" t="str">
        <f t="shared" si="5"/>
        <v/>
      </c>
      <c r="O37" s="270" t="str">
        <f t="shared" si="6"/>
        <v/>
      </c>
      <c r="P37" s="23"/>
      <c r="Q37" s="23"/>
      <c r="R37" s="23"/>
      <c r="S37" s="23"/>
      <c r="Y37" s="29"/>
      <c r="Z37" s="29"/>
    </row>
    <row r="38" spans="2:26" ht="17.25" customHeight="1" x14ac:dyDescent="0.2">
      <c r="B38" s="321">
        <f t="shared" si="7"/>
        <v>10</v>
      </c>
      <c r="C38" s="567"/>
      <c r="D38" s="30" t="str">
        <f>IF(C38="","",VLOOKUP(C38,'ETF List'!$C$1:$J$200,3,0))</f>
        <v/>
      </c>
      <c r="E38" s="31" t="str">
        <f>IF(C38="","",VLOOKUP(C38,'ETF List'!$C$1:$J$200,4,0))</f>
        <v/>
      </c>
      <c r="F38" s="31" t="str">
        <f>IF(C38="","",VLOOKUP(C38,'ETF List'!$C$1:$J$200,5,0))</f>
        <v/>
      </c>
      <c r="G38" s="571"/>
      <c r="H38" s="549"/>
      <c r="I38" s="550"/>
      <c r="J38" s="546"/>
      <c r="K38" s="253" t="str">
        <f t="shared" si="2"/>
        <v/>
      </c>
      <c r="L38" s="269" t="str">
        <f t="shared" si="3"/>
        <v/>
      </c>
      <c r="M38" s="253" t="str">
        <f t="shared" si="4"/>
        <v/>
      </c>
      <c r="N38" s="269" t="str">
        <f t="shared" si="5"/>
        <v/>
      </c>
      <c r="O38" s="270" t="str">
        <f t="shared" si="6"/>
        <v/>
      </c>
      <c r="P38" s="23"/>
      <c r="Q38" s="23"/>
      <c r="R38" s="23"/>
      <c r="S38" s="23"/>
      <c r="Y38" s="29"/>
      <c r="Z38" s="29"/>
    </row>
    <row r="39" spans="2:26" ht="17.25" customHeight="1" x14ac:dyDescent="0.2">
      <c r="B39" s="321">
        <f t="shared" si="7"/>
        <v>11</v>
      </c>
      <c r="C39" s="567"/>
      <c r="D39" s="30" t="str">
        <f>IF(C39="","",VLOOKUP(C39,'ETF List'!$C$1:$J$200,3,0))</f>
        <v/>
      </c>
      <c r="E39" s="31" t="str">
        <f>IF(C39="","",VLOOKUP(C39,'ETF List'!$C$1:$J$200,4,0))</f>
        <v/>
      </c>
      <c r="F39" s="31" t="str">
        <f>IF(C39="","",VLOOKUP(C39,'ETF List'!$C$1:$J$200,5,0))</f>
        <v/>
      </c>
      <c r="G39" s="571"/>
      <c r="H39" s="549"/>
      <c r="I39" s="550"/>
      <c r="J39" s="546"/>
      <c r="K39" s="253" t="str">
        <f t="shared" si="2"/>
        <v/>
      </c>
      <c r="L39" s="269" t="str">
        <f t="shared" si="3"/>
        <v/>
      </c>
      <c r="M39" s="253" t="str">
        <f t="shared" si="4"/>
        <v/>
      </c>
      <c r="N39" s="269" t="str">
        <f t="shared" si="5"/>
        <v/>
      </c>
      <c r="O39" s="270" t="str">
        <f t="shared" si="6"/>
        <v/>
      </c>
      <c r="P39" s="23"/>
      <c r="Q39" s="23"/>
      <c r="R39" s="23"/>
      <c r="S39" s="23"/>
      <c r="Y39" s="29"/>
      <c r="Z39" s="29"/>
    </row>
    <row r="40" spans="2:26" ht="17.25" customHeight="1" x14ac:dyDescent="0.2">
      <c r="B40" s="321">
        <f t="shared" si="7"/>
        <v>12</v>
      </c>
      <c r="C40" s="567"/>
      <c r="D40" s="30" t="str">
        <f>IF(C40="","",VLOOKUP(C40,'ETF List'!$C$1:$J$200,3,0))</f>
        <v/>
      </c>
      <c r="E40" s="31" t="str">
        <f>IF(C40="","",VLOOKUP(C40,'ETF List'!$C$1:$J$200,4,0))</f>
        <v/>
      </c>
      <c r="F40" s="31" t="str">
        <f>IF(C40="","",VLOOKUP(C40,'ETF List'!$C$1:$J$200,5,0))</f>
        <v/>
      </c>
      <c r="G40" s="571"/>
      <c r="H40" s="549"/>
      <c r="I40" s="550"/>
      <c r="J40" s="546"/>
      <c r="K40" s="253" t="str">
        <f t="shared" si="2"/>
        <v/>
      </c>
      <c r="L40" s="269" t="str">
        <f t="shared" si="3"/>
        <v/>
      </c>
      <c r="M40" s="253" t="str">
        <f t="shared" si="4"/>
        <v/>
      </c>
      <c r="N40" s="269" t="str">
        <f t="shared" si="5"/>
        <v/>
      </c>
      <c r="O40" s="270" t="str">
        <f t="shared" si="6"/>
        <v/>
      </c>
      <c r="P40" s="23"/>
      <c r="Q40" s="23"/>
      <c r="R40" s="23"/>
      <c r="S40" s="23"/>
      <c r="Y40" s="29"/>
      <c r="Z40" s="29"/>
    </row>
    <row r="41" spans="2:26" ht="17.25" customHeight="1" x14ac:dyDescent="0.2">
      <c r="B41" s="321">
        <f t="shared" si="7"/>
        <v>13</v>
      </c>
      <c r="C41" s="567"/>
      <c r="D41" s="30" t="str">
        <f>IF(C41="","",VLOOKUP(C41,'ETF List'!$C$1:$J$200,3,0))</f>
        <v/>
      </c>
      <c r="E41" s="31" t="str">
        <f>IF(C41="","",VLOOKUP(C41,'ETF List'!$C$1:$J$200,4,0))</f>
        <v/>
      </c>
      <c r="F41" s="31" t="str">
        <f>IF(C41="","",VLOOKUP(C41,'ETF List'!$C$1:$J$200,5,0))</f>
        <v/>
      </c>
      <c r="G41" s="571"/>
      <c r="H41" s="549"/>
      <c r="I41" s="550"/>
      <c r="J41" s="546"/>
      <c r="K41" s="253" t="str">
        <f t="shared" si="2"/>
        <v/>
      </c>
      <c r="L41" s="269" t="str">
        <f t="shared" si="3"/>
        <v/>
      </c>
      <c r="M41" s="253" t="str">
        <f t="shared" si="4"/>
        <v/>
      </c>
      <c r="N41" s="269" t="str">
        <f t="shared" si="5"/>
        <v/>
      </c>
      <c r="O41" s="270" t="str">
        <f t="shared" si="6"/>
        <v/>
      </c>
      <c r="P41" s="23"/>
      <c r="Q41" s="23"/>
      <c r="R41" s="23"/>
      <c r="S41" s="23"/>
      <c r="Y41" s="29"/>
      <c r="Z41" s="29"/>
    </row>
    <row r="42" spans="2:26" ht="17.25" customHeight="1" x14ac:dyDescent="0.2">
      <c r="B42" s="321">
        <f t="shared" si="7"/>
        <v>14</v>
      </c>
      <c r="C42" s="567"/>
      <c r="D42" s="30" t="str">
        <f>IF(C42="","",VLOOKUP(C42,'ETF List'!$C$1:$J$200,3,0))</f>
        <v/>
      </c>
      <c r="E42" s="31" t="str">
        <f>IF(C42="","",VLOOKUP(C42,'ETF List'!$C$1:$J$200,4,0))</f>
        <v/>
      </c>
      <c r="F42" s="31" t="str">
        <f>IF(C42="","",VLOOKUP(C42,'ETF List'!$C$1:$J$200,5,0))</f>
        <v/>
      </c>
      <c r="G42" s="571"/>
      <c r="H42" s="549"/>
      <c r="I42" s="550"/>
      <c r="J42" s="546"/>
      <c r="K42" s="253" t="str">
        <f t="shared" si="2"/>
        <v/>
      </c>
      <c r="L42" s="269" t="str">
        <f t="shared" si="3"/>
        <v/>
      </c>
      <c r="M42" s="253" t="str">
        <f t="shared" si="4"/>
        <v/>
      </c>
      <c r="N42" s="269" t="str">
        <f t="shared" si="5"/>
        <v/>
      </c>
      <c r="O42" s="270" t="str">
        <f t="shared" si="6"/>
        <v/>
      </c>
      <c r="P42" s="23"/>
      <c r="Q42" s="23"/>
      <c r="R42" s="23"/>
      <c r="S42" s="23"/>
      <c r="Y42" s="29"/>
      <c r="Z42" s="29"/>
    </row>
    <row r="43" spans="2:26" ht="17.25" customHeight="1" x14ac:dyDescent="0.2">
      <c r="B43" s="321">
        <f t="shared" si="7"/>
        <v>15</v>
      </c>
      <c r="C43" s="567"/>
      <c r="D43" s="30" t="str">
        <f>IF(C43="","",VLOOKUP(C43,'ETF List'!$C$1:$J$200,3,0))</f>
        <v/>
      </c>
      <c r="E43" s="31" t="str">
        <f>IF(C43="","",VLOOKUP(C43,'ETF List'!$C$1:$J$200,4,0))</f>
        <v/>
      </c>
      <c r="F43" s="31" t="str">
        <f>IF(C43="","",VLOOKUP(C43,'ETF List'!$C$1:$J$200,5,0))</f>
        <v/>
      </c>
      <c r="G43" s="571"/>
      <c r="H43" s="549"/>
      <c r="I43" s="550"/>
      <c r="J43" s="546"/>
      <c r="K43" s="253" t="str">
        <f t="shared" si="2"/>
        <v/>
      </c>
      <c r="L43" s="269" t="str">
        <f t="shared" si="3"/>
        <v/>
      </c>
      <c r="M43" s="253" t="str">
        <f t="shared" si="4"/>
        <v/>
      </c>
      <c r="N43" s="269" t="str">
        <f t="shared" si="5"/>
        <v/>
      </c>
      <c r="O43" s="270" t="str">
        <f t="shared" si="6"/>
        <v/>
      </c>
      <c r="P43" s="23"/>
      <c r="Q43" s="23"/>
      <c r="R43" s="23"/>
      <c r="S43" s="23"/>
      <c r="Y43" s="29"/>
      <c r="Z43" s="29"/>
    </row>
    <row r="44" spans="2:26" ht="17.25" customHeight="1" x14ac:dyDescent="0.2">
      <c r="B44" s="321">
        <f t="shared" si="7"/>
        <v>16</v>
      </c>
      <c r="C44" s="567"/>
      <c r="D44" s="30" t="str">
        <f>IF(C44="","",VLOOKUP(C44,'ETF List'!$C$1:$J$200,3,0))</f>
        <v/>
      </c>
      <c r="E44" s="31" t="str">
        <f>IF(C44="","",VLOOKUP(C44,'ETF List'!$C$1:$J$200,4,0))</f>
        <v/>
      </c>
      <c r="F44" s="31" t="str">
        <f>IF(C44="","",VLOOKUP(C44,'ETF List'!$C$1:$J$200,5,0))</f>
        <v/>
      </c>
      <c r="G44" s="571"/>
      <c r="H44" s="549"/>
      <c r="I44" s="550"/>
      <c r="J44" s="546"/>
      <c r="K44" s="253" t="str">
        <f t="shared" si="2"/>
        <v/>
      </c>
      <c r="L44" s="269" t="str">
        <f t="shared" si="3"/>
        <v/>
      </c>
      <c r="M44" s="253" t="str">
        <f t="shared" si="4"/>
        <v/>
      </c>
      <c r="N44" s="269" t="str">
        <f t="shared" si="5"/>
        <v/>
      </c>
      <c r="O44" s="270" t="str">
        <f t="shared" si="6"/>
        <v/>
      </c>
      <c r="P44" s="23"/>
      <c r="Q44" s="23"/>
      <c r="R44" s="23"/>
      <c r="S44" s="23"/>
      <c r="Y44" s="29"/>
      <c r="Z44" s="29"/>
    </row>
    <row r="45" spans="2:26" ht="17.25" customHeight="1" x14ac:dyDescent="0.2">
      <c r="B45" s="321">
        <f t="shared" si="7"/>
        <v>17</v>
      </c>
      <c r="C45" s="567"/>
      <c r="D45" s="30" t="str">
        <f>IF(C45="","",VLOOKUP(C45,'ETF List'!$C$1:$J$200,3,0))</f>
        <v/>
      </c>
      <c r="E45" s="31" t="str">
        <f>IF(C45="","",VLOOKUP(C45,'ETF List'!$C$1:$J$200,4,0))</f>
        <v/>
      </c>
      <c r="F45" s="31" t="str">
        <f>IF(C45="","",VLOOKUP(C45,'ETF List'!$C$1:$J$200,5,0))</f>
        <v/>
      </c>
      <c r="G45" s="571"/>
      <c r="H45" s="549"/>
      <c r="I45" s="550"/>
      <c r="J45" s="546"/>
      <c r="K45" s="253" t="str">
        <f t="shared" si="2"/>
        <v/>
      </c>
      <c r="L45" s="269" t="str">
        <f t="shared" si="3"/>
        <v/>
      </c>
      <c r="M45" s="253" t="str">
        <f t="shared" si="4"/>
        <v/>
      </c>
      <c r="N45" s="269" t="str">
        <f t="shared" si="5"/>
        <v/>
      </c>
      <c r="O45" s="270" t="str">
        <f t="shared" si="6"/>
        <v/>
      </c>
      <c r="P45" s="23"/>
      <c r="Q45" s="23"/>
      <c r="R45" s="23"/>
      <c r="S45" s="23"/>
      <c r="Y45" s="29"/>
      <c r="Z45" s="29"/>
    </row>
    <row r="46" spans="2:26" ht="17.25" customHeight="1" x14ac:dyDescent="0.2">
      <c r="B46" s="321">
        <f t="shared" si="7"/>
        <v>18</v>
      </c>
      <c r="C46" s="567"/>
      <c r="D46" s="30" t="str">
        <f>IF(C46="","",VLOOKUP(C46,'ETF List'!$C$1:$J$200,3,0))</f>
        <v/>
      </c>
      <c r="E46" s="31" t="str">
        <f>IF(C46="","",VLOOKUP(C46,'ETF List'!$C$1:$J$200,4,0))</f>
        <v/>
      </c>
      <c r="F46" s="31" t="str">
        <f>IF(C46="","",VLOOKUP(C46,'ETF List'!$C$1:$J$200,5,0))</f>
        <v/>
      </c>
      <c r="G46" s="571"/>
      <c r="H46" s="549"/>
      <c r="I46" s="550"/>
      <c r="J46" s="546"/>
      <c r="K46" s="253" t="str">
        <f t="shared" si="2"/>
        <v/>
      </c>
      <c r="L46" s="269" t="str">
        <f t="shared" si="3"/>
        <v/>
      </c>
      <c r="M46" s="253" t="str">
        <f t="shared" si="4"/>
        <v/>
      </c>
      <c r="N46" s="269" t="str">
        <f t="shared" si="5"/>
        <v/>
      </c>
      <c r="O46" s="270" t="str">
        <f t="shared" si="6"/>
        <v/>
      </c>
      <c r="P46" s="23"/>
      <c r="Q46" s="23"/>
      <c r="R46" s="23"/>
      <c r="S46" s="23"/>
      <c r="Y46" s="29"/>
      <c r="Z46" s="29"/>
    </row>
    <row r="47" spans="2:26" ht="17.25" customHeight="1" x14ac:dyDescent="0.2">
      <c r="B47" s="321">
        <f t="shared" si="7"/>
        <v>19</v>
      </c>
      <c r="C47" s="567"/>
      <c r="D47" s="30" t="str">
        <f>IF(C47="","",VLOOKUP(C47,'ETF List'!$C$1:$J$200,3,0))</f>
        <v/>
      </c>
      <c r="E47" s="31" t="str">
        <f>IF(C47="","",VLOOKUP(C47,'ETF List'!$C$1:$J$200,4,0))</f>
        <v/>
      </c>
      <c r="F47" s="31" t="str">
        <f>IF(C47="","",VLOOKUP(C47,'ETF List'!$C$1:$J$200,5,0))</f>
        <v/>
      </c>
      <c r="G47" s="571"/>
      <c r="H47" s="549"/>
      <c r="I47" s="550"/>
      <c r="J47" s="546"/>
      <c r="K47" s="253" t="str">
        <f t="shared" si="2"/>
        <v/>
      </c>
      <c r="L47" s="269" t="str">
        <f t="shared" si="3"/>
        <v/>
      </c>
      <c r="M47" s="253" t="str">
        <f t="shared" si="4"/>
        <v/>
      </c>
      <c r="N47" s="269" t="str">
        <f t="shared" si="5"/>
        <v/>
      </c>
      <c r="O47" s="270" t="str">
        <f t="shared" si="6"/>
        <v/>
      </c>
      <c r="P47" s="23"/>
      <c r="Q47" s="23"/>
      <c r="R47" s="23"/>
      <c r="S47" s="23"/>
      <c r="Y47" s="29"/>
      <c r="Z47" s="29"/>
    </row>
    <row r="48" spans="2:26" ht="17.25" customHeight="1" x14ac:dyDescent="0.2">
      <c r="B48" s="321">
        <f t="shared" si="7"/>
        <v>20</v>
      </c>
      <c r="C48" s="567"/>
      <c r="D48" s="30" t="str">
        <f>IF(C48="","",VLOOKUP(C48,'ETF List'!$C$1:$J$200,3,0))</f>
        <v/>
      </c>
      <c r="E48" s="31" t="str">
        <f>IF(C48="","",VLOOKUP(C48,'ETF List'!$C$1:$J$200,4,0))</f>
        <v/>
      </c>
      <c r="F48" s="31" t="str">
        <f>IF(C48="","",VLOOKUP(C48,'ETF List'!$C$1:$J$200,5,0))</f>
        <v/>
      </c>
      <c r="G48" s="571"/>
      <c r="H48" s="549"/>
      <c r="I48" s="550"/>
      <c r="J48" s="546"/>
      <c r="K48" s="253" t="str">
        <f t="shared" si="2"/>
        <v/>
      </c>
      <c r="L48" s="269" t="str">
        <f t="shared" si="3"/>
        <v/>
      </c>
      <c r="M48" s="253" t="str">
        <f t="shared" si="4"/>
        <v/>
      </c>
      <c r="N48" s="269" t="str">
        <f t="shared" si="5"/>
        <v/>
      </c>
      <c r="O48" s="270" t="str">
        <f t="shared" si="6"/>
        <v/>
      </c>
      <c r="P48" s="23"/>
      <c r="Q48" s="23"/>
      <c r="R48" s="23"/>
      <c r="S48" s="23"/>
      <c r="Y48" s="29"/>
      <c r="Z48" s="29"/>
    </row>
    <row r="49" spans="2:26" ht="17.25" customHeight="1" x14ac:dyDescent="0.2">
      <c r="B49" s="321">
        <f t="shared" si="7"/>
        <v>21</v>
      </c>
      <c r="C49" s="567"/>
      <c r="D49" s="30" t="str">
        <f>IF(C49="","",VLOOKUP(C49,'ETF List'!$C$1:$J$200,3,0))</f>
        <v/>
      </c>
      <c r="E49" s="31" t="str">
        <f>IF(C49="","",VLOOKUP(C49,'ETF List'!$C$1:$J$200,4,0))</f>
        <v/>
      </c>
      <c r="F49" s="31" t="str">
        <f>IF(C49="","",VLOOKUP(C49,'ETF List'!$C$1:$J$200,5,0))</f>
        <v/>
      </c>
      <c r="G49" s="571"/>
      <c r="H49" s="549"/>
      <c r="I49" s="550"/>
      <c r="J49" s="546"/>
      <c r="K49" s="253" t="str">
        <f t="shared" si="2"/>
        <v/>
      </c>
      <c r="L49" s="269" t="str">
        <f t="shared" si="3"/>
        <v/>
      </c>
      <c r="M49" s="253" t="str">
        <f t="shared" si="4"/>
        <v/>
      </c>
      <c r="N49" s="269" t="str">
        <f t="shared" si="5"/>
        <v/>
      </c>
      <c r="O49" s="270" t="str">
        <f t="shared" si="6"/>
        <v/>
      </c>
      <c r="P49" s="23"/>
      <c r="Q49" s="23"/>
      <c r="R49" s="23"/>
      <c r="S49" s="23"/>
      <c r="Y49" s="29"/>
      <c r="Z49" s="29"/>
    </row>
    <row r="50" spans="2:26" ht="17.25" customHeight="1" x14ac:dyDescent="0.2">
      <c r="B50" s="321">
        <f t="shared" si="7"/>
        <v>22</v>
      </c>
      <c r="C50" s="567"/>
      <c r="D50" s="30" t="str">
        <f>IF(C50="","",VLOOKUP(C50,'ETF List'!$C$1:$J$200,3,0))</f>
        <v/>
      </c>
      <c r="E50" s="31" t="str">
        <f>IF(C50="","",VLOOKUP(C50,'ETF List'!$C$1:$J$200,4,0))</f>
        <v/>
      </c>
      <c r="F50" s="31" t="str">
        <f>IF(C50="","",VLOOKUP(C50,'ETF List'!$C$1:$J$200,5,0))</f>
        <v/>
      </c>
      <c r="G50" s="571"/>
      <c r="H50" s="549"/>
      <c r="I50" s="550"/>
      <c r="J50" s="546"/>
      <c r="K50" s="253" t="str">
        <f t="shared" si="2"/>
        <v/>
      </c>
      <c r="L50" s="269" t="str">
        <f t="shared" si="3"/>
        <v/>
      </c>
      <c r="M50" s="253" t="str">
        <f t="shared" si="4"/>
        <v/>
      </c>
      <c r="N50" s="269" t="str">
        <f t="shared" si="5"/>
        <v/>
      </c>
      <c r="O50" s="270" t="str">
        <f t="shared" si="6"/>
        <v/>
      </c>
      <c r="P50" s="23"/>
      <c r="Q50" s="23"/>
      <c r="R50" s="23"/>
      <c r="S50" s="23"/>
      <c r="Y50" s="29"/>
      <c r="Z50" s="29"/>
    </row>
    <row r="51" spans="2:26" ht="17.25" customHeight="1" x14ac:dyDescent="0.2">
      <c r="B51" s="321">
        <f t="shared" si="7"/>
        <v>23</v>
      </c>
      <c r="C51" s="567"/>
      <c r="D51" s="30" t="str">
        <f>IF(C51="","",VLOOKUP(C51,'ETF List'!$C$1:$J$200,3,0))</f>
        <v/>
      </c>
      <c r="E51" s="31" t="str">
        <f>IF(C51="","",VLOOKUP(C51,'ETF List'!$C$1:$J$200,4,0))</f>
        <v/>
      </c>
      <c r="F51" s="31" t="str">
        <f>IF(C51="","",VLOOKUP(C51,'ETF List'!$C$1:$J$200,5,0))</f>
        <v/>
      </c>
      <c r="G51" s="571"/>
      <c r="H51" s="549"/>
      <c r="I51" s="550"/>
      <c r="J51" s="546"/>
      <c r="K51" s="253" t="str">
        <f t="shared" si="2"/>
        <v/>
      </c>
      <c r="L51" s="269" t="str">
        <f t="shared" si="3"/>
        <v/>
      </c>
      <c r="M51" s="253" t="str">
        <f t="shared" si="4"/>
        <v/>
      </c>
      <c r="N51" s="269" t="str">
        <f t="shared" si="5"/>
        <v/>
      </c>
      <c r="O51" s="270" t="str">
        <f t="shared" si="6"/>
        <v/>
      </c>
      <c r="P51" s="23"/>
      <c r="Q51" s="23"/>
      <c r="R51" s="23"/>
      <c r="S51" s="23"/>
      <c r="Y51" s="29"/>
      <c r="Z51" s="29"/>
    </row>
    <row r="52" spans="2:26" ht="17.25" customHeight="1" x14ac:dyDescent="0.2">
      <c r="B52" s="321">
        <f t="shared" si="7"/>
        <v>24</v>
      </c>
      <c r="C52" s="567"/>
      <c r="D52" s="30" t="str">
        <f>IF(C52="","",VLOOKUP(C52,'ETF List'!$C$1:$J$200,3,0))</f>
        <v/>
      </c>
      <c r="E52" s="31" t="str">
        <f>IF(C52="","",VLOOKUP(C52,'ETF List'!$C$1:$J$200,4,0))</f>
        <v/>
      </c>
      <c r="F52" s="31" t="str">
        <f>IF(C52="","",VLOOKUP(C52,'ETF List'!$C$1:$J$200,5,0))</f>
        <v/>
      </c>
      <c r="G52" s="571"/>
      <c r="H52" s="549"/>
      <c r="I52" s="550"/>
      <c r="J52" s="546"/>
      <c r="K52" s="253" t="str">
        <f t="shared" si="2"/>
        <v/>
      </c>
      <c r="L52" s="269" t="str">
        <f t="shared" si="3"/>
        <v/>
      </c>
      <c r="M52" s="253" t="str">
        <f t="shared" si="4"/>
        <v/>
      </c>
      <c r="N52" s="269" t="str">
        <f t="shared" si="5"/>
        <v/>
      </c>
      <c r="O52" s="270" t="str">
        <f t="shared" si="6"/>
        <v/>
      </c>
      <c r="P52" s="23"/>
      <c r="Q52" s="23"/>
      <c r="R52" s="23"/>
      <c r="S52" s="23"/>
      <c r="Y52" s="29"/>
      <c r="Z52" s="29"/>
    </row>
    <row r="53" spans="2:26" ht="17.25" customHeight="1" x14ac:dyDescent="0.2">
      <c r="B53" s="321">
        <f t="shared" si="7"/>
        <v>25</v>
      </c>
      <c r="C53" s="567"/>
      <c r="D53" s="30" t="str">
        <f>IF(C53="","",VLOOKUP(C53,'ETF List'!$C$1:$J$200,3,0))</f>
        <v/>
      </c>
      <c r="E53" s="31" t="str">
        <f>IF(C53="","",VLOOKUP(C53,'ETF List'!$C$1:$J$200,4,0))</f>
        <v/>
      </c>
      <c r="F53" s="31" t="str">
        <f>IF(C53="","",VLOOKUP(C53,'ETF List'!$C$1:$J$200,5,0))</f>
        <v/>
      </c>
      <c r="G53" s="571"/>
      <c r="H53" s="549"/>
      <c r="I53" s="550"/>
      <c r="J53" s="546"/>
      <c r="K53" s="253" t="str">
        <f t="shared" si="2"/>
        <v/>
      </c>
      <c r="L53" s="269" t="str">
        <f t="shared" si="3"/>
        <v/>
      </c>
      <c r="M53" s="253" t="str">
        <f t="shared" si="4"/>
        <v/>
      </c>
      <c r="N53" s="269" t="str">
        <f t="shared" si="5"/>
        <v/>
      </c>
      <c r="O53" s="270" t="str">
        <f t="shared" si="6"/>
        <v/>
      </c>
      <c r="P53" s="23"/>
      <c r="Q53" s="23"/>
      <c r="R53" s="23"/>
      <c r="S53" s="23"/>
      <c r="Y53" s="29"/>
      <c r="Z53" s="29"/>
    </row>
    <row r="54" spans="2:26" ht="17.25" customHeight="1" x14ac:dyDescent="0.2">
      <c r="B54" s="321">
        <f t="shared" si="7"/>
        <v>26</v>
      </c>
      <c r="C54" s="567"/>
      <c r="D54" s="30" t="str">
        <f>IF(C54="","",VLOOKUP(C54,'ETF List'!$C$1:$J$200,3,0))</f>
        <v/>
      </c>
      <c r="E54" s="31" t="str">
        <f>IF(C54="","",VLOOKUP(C54,'ETF List'!$C$1:$J$200,4,0))</f>
        <v/>
      </c>
      <c r="F54" s="31" t="str">
        <f>IF(C54="","",VLOOKUP(C54,'ETF List'!$C$1:$J$200,5,0))</f>
        <v/>
      </c>
      <c r="G54" s="571"/>
      <c r="H54" s="549"/>
      <c r="I54" s="550"/>
      <c r="J54" s="546"/>
      <c r="K54" s="253" t="str">
        <f t="shared" si="2"/>
        <v/>
      </c>
      <c r="L54" s="269" t="str">
        <f t="shared" si="3"/>
        <v/>
      </c>
      <c r="M54" s="253" t="str">
        <f t="shared" si="4"/>
        <v/>
      </c>
      <c r="N54" s="269" t="str">
        <f t="shared" si="5"/>
        <v/>
      </c>
      <c r="O54" s="270" t="str">
        <f t="shared" si="6"/>
        <v/>
      </c>
      <c r="P54" s="23"/>
      <c r="Q54" s="23"/>
      <c r="R54" s="23"/>
      <c r="S54" s="23"/>
      <c r="Y54" s="29"/>
      <c r="Z54" s="29"/>
    </row>
    <row r="55" spans="2:26" ht="17.25" customHeight="1" x14ac:dyDescent="0.2">
      <c r="B55" s="321">
        <f t="shared" si="7"/>
        <v>27</v>
      </c>
      <c r="C55" s="567"/>
      <c r="D55" s="30" t="str">
        <f>IF(C55="","",VLOOKUP(C55,'ETF List'!$C$1:$J$200,3,0))</f>
        <v/>
      </c>
      <c r="E55" s="31" t="str">
        <f>IF(C55="","",VLOOKUP(C55,'ETF List'!$C$1:$J$200,4,0))</f>
        <v/>
      </c>
      <c r="F55" s="31" t="str">
        <f>IF(C55="","",VLOOKUP(C55,'ETF List'!$C$1:$J$200,5,0))</f>
        <v/>
      </c>
      <c r="G55" s="571"/>
      <c r="H55" s="549"/>
      <c r="I55" s="550"/>
      <c r="J55" s="546"/>
      <c r="K55" s="253" t="str">
        <f t="shared" si="2"/>
        <v/>
      </c>
      <c r="L55" s="269" t="str">
        <f t="shared" si="3"/>
        <v/>
      </c>
      <c r="M55" s="253" t="str">
        <f t="shared" si="4"/>
        <v/>
      </c>
      <c r="N55" s="269" t="str">
        <f t="shared" si="5"/>
        <v/>
      </c>
      <c r="O55" s="270" t="str">
        <f t="shared" si="6"/>
        <v/>
      </c>
      <c r="P55" s="23"/>
      <c r="Q55" s="23"/>
      <c r="R55" s="23"/>
      <c r="S55" s="23"/>
      <c r="Y55" s="29"/>
      <c r="Z55" s="29"/>
    </row>
    <row r="56" spans="2:26" ht="17.25" customHeight="1" x14ac:dyDescent="0.2">
      <c r="B56" s="321">
        <f t="shared" si="7"/>
        <v>28</v>
      </c>
      <c r="C56" s="567"/>
      <c r="D56" s="30" t="str">
        <f>IF(C56="","",VLOOKUP(C56,'ETF List'!$C$1:$J$200,3,0))</f>
        <v/>
      </c>
      <c r="E56" s="31" t="str">
        <f>IF(C56="","",VLOOKUP(C56,'ETF List'!$C$1:$J$200,4,0))</f>
        <v/>
      </c>
      <c r="F56" s="31" t="str">
        <f>IF(C56="","",VLOOKUP(C56,'ETF List'!$C$1:$J$200,5,0))</f>
        <v/>
      </c>
      <c r="G56" s="571"/>
      <c r="H56" s="549"/>
      <c r="I56" s="550"/>
      <c r="J56" s="546"/>
      <c r="K56" s="253" t="str">
        <f t="shared" si="2"/>
        <v/>
      </c>
      <c r="L56" s="269" t="str">
        <f t="shared" si="3"/>
        <v/>
      </c>
      <c r="M56" s="253" t="str">
        <f t="shared" si="4"/>
        <v/>
      </c>
      <c r="N56" s="269" t="str">
        <f t="shared" si="5"/>
        <v/>
      </c>
      <c r="O56" s="270" t="str">
        <f t="shared" si="6"/>
        <v/>
      </c>
      <c r="P56" s="23"/>
      <c r="Q56" s="23"/>
      <c r="R56" s="23"/>
      <c r="S56" s="23"/>
      <c r="Y56" s="29"/>
      <c r="Z56" s="29"/>
    </row>
    <row r="57" spans="2:26" ht="17.25" customHeight="1" x14ac:dyDescent="0.2">
      <c r="B57" s="321">
        <f t="shared" si="7"/>
        <v>29</v>
      </c>
      <c r="C57" s="567"/>
      <c r="D57" s="30" t="str">
        <f>IF(C57="","",VLOOKUP(C57,'ETF List'!$C$1:$J$200,3,0))</f>
        <v/>
      </c>
      <c r="E57" s="31" t="str">
        <f>IF(C57="","",VLOOKUP(C57,'ETF List'!$C$1:$J$200,4,0))</f>
        <v/>
      </c>
      <c r="F57" s="31" t="str">
        <f>IF(C57="","",VLOOKUP(C57,'ETF List'!$C$1:$J$200,5,0))</f>
        <v/>
      </c>
      <c r="G57" s="571"/>
      <c r="H57" s="549"/>
      <c r="I57" s="550"/>
      <c r="J57" s="546"/>
      <c r="K57" s="253" t="str">
        <f t="shared" si="2"/>
        <v/>
      </c>
      <c r="L57" s="269" t="str">
        <f t="shared" si="3"/>
        <v/>
      </c>
      <c r="M57" s="253" t="str">
        <f t="shared" si="4"/>
        <v/>
      </c>
      <c r="N57" s="269" t="str">
        <f t="shared" si="5"/>
        <v/>
      </c>
      <c r="O57" s="270" t="str">
        <f t="shared" si="6"/>
        <v/>
      </c>
      <c r="P57" s="23"/>
      <c r="Q57" s="23"/>
      <c r="R57" s="23"/>
      <c r="S57" s="23"/>
      <c r="Y57" s="29"/>
      <c r="Z57" s="29"/>
    </row>
    <row r="58" spans="2:26" ht="17.25" customHeight="1" x14ac:dyDescent="0.2">
      <c r="B58" s="321">
        <f t="shared" si="7"/>
        <v>30</v>
      </c>
      <c r="C58" s="567"/>
      <c r="D58" s="30" t="str">
        <f>IF(C58="","",VLOOKUP(C58,'ETF List'!$C$1:$J$200,3,0))</f>
        <v/>
      </c>
      <c r="E58" s="31" t="str">
        <f>IF(C58="","",VLOOKUP(C58,'ETF List'!$C$1:$J$200,4,0))</f>
        <v/>
      </c>
      <c r="F58" s="31" t="str">
        <f>IF(C58="","",VLOOKUP(C58,'ETF List'!$C$1:$J$200,5,0))</f>
        <v/>
      </c>
      <c r="G58" s="571"/>
      <c r="H58" s="549"/>
      <c r="I58" s="550"/>
      <c r="J58" s="546"/>
      <c r="K58" s="253" t="str">
        <f t="shared" si="2"/>
        <v/>
      </c>
      <c r="L58" s="269" t="str">
        <f t="shared" si="3"/>
        <v/>
      </c>
      <c r="M58" s="253" t="str">
        <f t="shared" si="4"/>
        <v/>
      </c>
      <c r="N58" s="269" t="str">
        <f t="shared" si="5"/>
        <v/>
      </c>
      <c r="O58" s="270" t="str">
        <f t="shared" si="6"/>
        <v/>
      </c>
      <c r="P58" s="23"/>
      <c r="Q58" s="23"/>
      <c r="R58" s="23"/>
      <c r="S58" s="23"/>
      <c r="Y58" s="29"/>
      <c r="Z58" s="29"/>
    </row>
    <row r="59" spans="2:26" ht="17.25" customHeight="1" x14ac:dyDescent="0.2">
      <c r="B59" s="321">
        <f t="shared" si="7"/>
        <v>31</v>
      </c>
      <c r="C59" s="568"/>
      <c r="D59" s="181" t="str">
        <f>IF(C59="","",VLOOKUP(C59,'ETF List'!$C$1:$J$200,3,0))</f>
        <v/>
      </c>
      <c r="E59" s="182" t="str">
        <f>IF(C59="","",VLOOKUP(C59,'ETF List'!$C$1:$J$200,4,0))</f>
        <v/>
      </c>
      <c r="F59" s="182" t="str">
        <f>IF(C59="","",VLOOKUP(C59,'ETF List'!$C$1:$J$200,5,0))</f>
        <v/>
      </c>
      <c r="G59" s="572"/>
      <c r="H59" s="573"/>
      <c r="I59" s="551"/>
      <c r="J59" s="547"/>
      <c r="K59" s="260" t="str">
        <f t="shared" si="2"/>
        <v/>
      </c>
      <c r="L59" s="271" t="str">
        <f t="shared" si="3"/>
        <v/>
      </c>
      <c r="M59" s="260" t="str">
        <f t="shared" si="4"/>
        <v/>
      </c>
      <c r="N59" s="271" t="str">
        <f t="shared" si="5"/>
        <v/>
      </c>
      <c r="O59" s="272" t="str">
        <f t="shared" si="6"/>
        <v/>
      </c>
      <c r="P59" s="23"/>
      <c r="Q59" s="23"/>
      <c r="R59" s="23"/>
      <c r="S59" s="23"/>
      <c r="Y59" s="29"/>
      <c r="Z59" s="29"/>
    </row>
  </sheetData>
  <dataValidations count="1">
    <dataValidation type="list" allowBlank="1" showInputMessage="1" showErrorMessage="1" sqref="G32:G59" xr:uid="{00000000-0002-0000-0400-000000000000}">
      <formula1>" ,Buy,Sell"</formula1>
    </dataValidation>
  </dataValidations>
  <pageMargins left="0.25" right="0.25" top="0.75" bottom="0.75" header="0.3" footer="0.3"/>
  <pageSetup scale="52" orientation="landscape" r:id="rId1"/>
  <headerFooter alignWithMargins="0"/>
  <colBreaks count="1" manualBreakCount="1">
    <brk id="15"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CC"/>
    <pageSetUpPr fitToPage="1"/>
  </sheetPr>
  <dimension ref="A1:T49"/>
  <sheetViews>
    <sheetView topLeftCell="C1" zoomScaleNormal="100" zoomScaleSheetLayoutView="90" workbookViewId="0">
      <selection activeCell="F7" sqref="F7"/>
    </sheetView>
  </sheetViews>
  <sheetFormatPr baseColWidth="10" defaultColWidth="8.83203125" defaultRowHeight="15" x14ac:dyDescent="0.2"/>
  <cols>
    <col min="3" max="3" width="9" customWidth="1"/>
    <col min="4" max="4" width="26.6640625" bestFit="1" customWidth="1"/>
    <col min="5" max="5" width="15.33203125" customWidth="1"/>
    <col min="6" max="10" width="15.83203125" customWidth="1"/>
    <col min="14" max="14" width="9.6640625" bestFit="1" customWidth="1"/>
    <col min="17" max="17" width="9.6640625" bestFit="1" customWidth="1"/>
    <col min="19" max="19" width="14.1640625" customWidth="1"/>
    <col min="20" max="20" width="24.1640625" bestFit="1" customWidth="1"/>
  </cols>
  <sheetData>
    <row r="1" spans="1:10" ht="19" x14ac:dyDescent="0.25">
      <c r="A1" s="3" t="s">
        <v>373</v>
      </c>
    </row>
    <row r="3" spans="1:10" s="4" customFormat="1" x14ac:dyDescent="0.2">
      <c r="C3" s="363" t="s">
        <v>191</v>
      </c>
      <c r="D3" s="364"/>
      <c r="E3" s="364"/>
      <c r="F3" s="364"/>
      <c r="G3" s="364"/>
      <c r="H3" s="364"/>
      <c r="I3" s="364"/>
      <c r="J3" s="365"/>
    </row>
    <row r="4" spans="1:10" x14ac:dyDescent="0.2">
      <c r="C4" s="125"/>
      <c r="D4" s="126"/>
      <c r="E4" s="693">
        <f>'Policy Portfolio'!F13-3</f>
        <v>44260</v>
      </c>
      <c r="F4" s="693">
        <f>E4+7</f>
        <v>44267</v>
      </c>
      <c r="G4" s="693">
        <f t="shared" ref="G4:I4" si="0">F4+7</f>
        <v>44274</v>
      </c>
      <c r="H4" s="693">
        <f t="shared" si="0"/>
        <v>44281</v>
      </c>
      <c r="I4" s="693">
        <f t="shared" si="0"/>
        <v>44288</v>
      </c>
      <c r="J4" s="694">
        <f>I4+7</f>
        <v>44295</v>
      </c>
    </row>
    <row r="5" spans="1:10" s="4" customFormat="1" x14ac:dyDescent="0.2">
      <c r="C5" s="146" t="s">
        <v>0</v>
      </c>
      <c r="D5" s="152" t="s">
        <v>1</v>
      </c>
      <c r="E5" s="152" t="s">
        <v>329</v>
      </c>
      <c r="F5" s="152" t="s">
        <v>315</v>
      </c>
      <c r="G5" s="152" t="s">
        <v>316</v>
      </c>
      <c r="H5" s="152" t="s">
        <v>317</v>
      </c>
      <c r="I5" s="152" t="s">
        <v>318</v>
      </c>
      <c r="J5" s="151" t="s">
        <v>319</v>
      </c>
    </row>
    <row r="6" spans="1:10" x14ac:dyDescent="0.2">
      <c r="C6" s="102" t="str">
        <f>IF('Policy Portfolio'!H21="","",'Policy Portfolio'!H21)</f>
        <v>BWX</v>
      </c>
      <c r="D6" s="242" t="str">
        <f>IF(C6="","",VLOOKUP(C6,'Policy Portfolio'!$AN$2:$AP$29,2,FALSE))</f>
        <v>SPDR BBG Barclays Intl Treasury</v>
      </c>
      <c r="E6" s="287">
        <f>IF(C6="","",Trades!J9)</f>
        <v>29.61</v>
      </c>
      <c r="F6" s="545">
        <v>29.65</v>
      </c>
      <c r="G6" s="552">
        <v>29.58</v>
      </c>
      <c r="H6" s="552">
        <v>29.46</v>
      </c>
      <c r="I6" s="554">
        <v>29.28</v>
      </c>
      <c r="J6" s="712">
        <v>29.55</v>
      </c>
    </row>
    <row r="7" spans="1:10" x14ac:dyDescent="0.2">
      <c r="C7" s="99" t="str">
        <f>IF('Policy Portfolio'!H22="","",'Policy Portfolio'!H22)</f>
        <v>VTI</v>
      </c>
      <c r="D7" s="74" t="str">
        <f>IF(C7="","",VLOOKUP(C7,'Policy Portfolio'!$AN$2:$AP$29,2,FALSE))</f>
        <v xml:space="preserve">Vanguard Total Stock Mrkt </v>
      </c>
      <c r="E7" s="288">
        <f>IF(C7="","",Trades!J10)</f>
        <v>97.67</v>
      </c>
      <c r="F7" s="546">
        <v>100.88</v>
      </c>
      <c r="G7" s="554">
        <v>99.88</v>
      </c>
      <c r="H7" s="554">
        <v>100.45</v>
      </c>
      <c r="I7" s="554">
        <v>101.79</v>
      </c>
      <c r="J7" s="555">
        <v>104.23</v>
      </c>
    </row>
    <row r="8" spans="1:10" x14ac:dyDescent="0.2">
      <c r="C8" s="99" t="str">
        <f>IF('Policy Portfolio'!H23="","",'Policy Portfolio'!H23)</f>
        <v>IAU</v>
      </c>
      <c r="D8" s="74" t="str">
        <f>IF(C8="","",VLOOKUP(C8,'Policy Portfolio'!$AN$2:$AP$29,2,FALSE))</f>
        <v>iShares Gold Trust</v>
      </c>
      <c r="E8" s="288">
        <f>IF(C8="","",Trades!J11)</f>
        <v>16.18</v>
      </c>
      <c r="F8" s="546">
        <v>16.440000000000001</v>
      </c>
      <c r="G8" s="554">
        <v>16.61</v>
      </c>
      <c r="H8" s="554">
        <v>16.5</v>
      </c>
      <c r="I8" s="554">
        <v>16.46</v>
      </c>
      <c r="J8" s="555">
        <v>16.61</v>
      </c>
    </row>
    <row r="9" spans="1:10" x14ac:dyDescent="0.2">
      <c r="C9" s="99" t="str">
        <f>IF('Policy Portfolio'!H24="","",'Policy Portfolio'!H24)</f>
        <v/>
      </c>
      <c r="D9" s="74" t="str">
        <f>IF(C9="","",VLOOKUP(C9,'Policy Portfolio'!$AN$2:$AP$29,2,FALSE))</f>
        <v/>
      </c>
      <c r="E9" s="288" t="str">
        <f>IF(C9="","",Trades!J12)</f>
        <v/>
      </c>
      <c r="F9" s="554"/>
      <c r="G9" s="554"/>
      <c r="H9" s="554"/>
      <c r="I9" s="554"/>
      <c r="J9" s="555"/>
    </row>
    <row r="10" spans="1:10" x14ac:dyDescent="0.2">
      <c r="C10" s="99" t="str">
        <f>IF('Policy Portfolio'!H25="","",'Policy Portfolio'!H25)</f>
        <v/>
      </c>
      <c r="D10" s="74" t="str">
        <f>IF(C10="","",VLOOKUP(C10,'Policy Portfolio'!$AN$2:$AP$29,2,FALSE))</f>
        <v/>
      </c>
      <c r="E10" s="288" t="str">
        <f>IF(C10="","",Trades!J13)</f>
        <v/>
      </c>
      <c r="F10" s="554"/>
      <c r="G10" s="554"/>
      <c r="H10" s="554"/>
      <c r="I10" s="554"/>
      <c r="J10" s="555"/>
    </row>
    <row r="11" spans="1:10" x14ac:dyDescent="0.2">
      <c r="C11" s="99" t="str">
        <f>IF('Policy Portfolio'!H26="","",'Policy Portfolio'!H26)</f>
        <v/>
      </c>
      <c r="D11" s="74" t="str">
        <f>IF(C11="","",VLOOKUP(C11,'Policy Portfolio'!$AN$2:$AP$29,2,FALSE))</f>
        <v/>
      </c>
      <c r="E11" s="288" t="str">
        <f>IF(C11="","",Trades!J14)</f>
        <v/>
      </c>
      <c r="F11" s="554"/>
      <c r="G11" s="554"/>
      <c r="H11" s="554"/>
      <c r="I11" s="554"/>
      <c r="J11" s="555"/>
    </row>
    <row r="12" spans="1:10" x14ac:dyDescent="0.2">
      <c r="C12" s="99" t="str">
        <f>IF('Policy Portfolio'!H27="","",'Policy Portfolio'!H27)</f>
        <v/>
      </c>
      <c r="D12" s="74" t="str">
        <f>IF(C12="","",VLOOKUP(C12,'Policy Portfolio'!$AN$2:$AP$29,2,FALSE))</f>
        <v/>
      </c>
      <c r="E12" s="288" t="str">
        <f>IF(C12="","",Trades!J15)</f>
        <v/>
      </c>
      <c r="F12" s="554"/>
      <c r="G12" s="554"/>
      <c r="H12" s="554"/>
      <c r="I12" s="554"/>
      <c r="J12" s="555"/>
    </row>
    <row r="13" spans="1:10" x14ac:dyDescent="0.2">
      <c r="C13" s="99" t="str">
        <f>IF('Policy Portfolio'!H28="","",'Policy Portfolio'!H28)</f>
        <v/>
      </c>
      <c r="D13" s="74" t="str">
        <f>IF(C13="","",VLOOKUP(C13,'Policy Portfolio'!$AN$2:$AP$29,2,FALSE))</f>
        <v/>
      </c>
      <c r="E13" s="288" t="str">
        <f>IF(C13="","",Trades!J16)</f>
        <v/>
      </c>
      <c r="F13" s="554"/>
      <c r="G13" s="554"/>
      <c r="H13" s="554"/>
      <c r="I13" s="554"/>
      <c r="J13" s="555"/>
    </row>
    <row r="14" spans="1:10" x14ac:dyDescent="0.2">
      <c r="C14" s="100" t="str">
        <f>IF('Policy Portfolio'!H29="","",'Policy Portfolio'!H29)</f>
        <v/>
      </c>
      <c r="D14" s="101" t="str">
        <f>IF(C14="","",VLOOKUP(C14,'Policy Portfolio'!$AN$2:$AP$29,2,FALSE))</f>
        <v/>
      </c>
      <c r="E14" s="289" t="str">
        <f>IF(C14="","",Trades!J17)</f>
        <v/>
      </c>
      <c r="F14" s="556"/>
      <c r="G14" s="556"/>
      <c r="H14" s="556"/>
      <c r="I14" s="556"/>
      <c r="J14" s="557"/>
    </row>
    <row r="17" spans="2:20" s="4" customFormat="1" x14ac:dyDescent="0.2">
      <c r="C17" s="366" t="s">
        <v>407</v>
      </c>
      <c r="D17" s="367"/>
      <c r="E17" s="367"/>
      <c r="F17" s="367"/>
      <c r="G17" s="367"/>
      <c r="H17" s="367"/>
      <c r="I17" s="367"/>
      <c r="J17" s="368"/>
    </row>
    <row r="18" spans="2:20" x14ac:dyDescent="0.2">
      <c r="C18" s="125"/>
      <c r="D18" s="126"/>
      <c r="E18" s="693">
        <f>E4</f>
        <v>44260</v>
      </c>
      <c r="F18" s="693">
        <f t="shared" ref="F18:J18" si="1">F4</f>
        <v>44267</v>
      </c>
      <c r="G18" s="693">
        <f t="shared" si="1"/>
        <v>44274</v>
      </c>
      <c r="H18" s="693">
        <f t="shared" si="1"/>
        <v>44281</v>
      </c>
      <c r="I18" s="693">
        <f t="shared" si="1"/>
        <v>44288</v>
      </c>
      <c r="J18" s="694">
        <f t="shared" si="1"/>
        <v>44295</v>
      </c>
    </row>
    <row r="19" spans="2:20" s="4" customFormat="1" x14ac:dyDescent="0.2">
      <c r="C19" s="369" t="s">
        <v>0</v>
      </c>
      <c r="D19" s="370" t="s">
        <v>1</v>
      </c>
      <c r="E19" s="370" t="str">
        <f>E5</f>
        <v>Begin</v>
      </c>
      <c r="F19" s="370" t="str">
        <f>F5</f>
        <v>Week 1</v>
      </c>
      <c r="G19" s="370" t="str">
        <f>G5</f>
        <v>Week 2</v>
      </c>
      <c r="H19" s="370" t="str">
        <f>H5</f>
        <v>Week 3</v>
      </c>
      <c r="I19" s="370" t="str">
        <f>I5</f>
        <v>Week 4</v>
      </c>
      <c r="J19" s="371" t="str">
        <f>J5</f>
        <v>Week 5</v>
      </c>
      <c r="P19" s="343" t="s">
        <v>406</v>
      </c>
      <c r="Q19" s="343" t="s">
        <v>404</v>
      </c>
      <c r="R19" s="343" t="s">
        <v>405</v>
      </c>
      <c r="S19" s="343" t="s">
        <v>0</v>
      </c>
      <c r="T19" s="343" t="s">
        <v>1</v>
      </c>
    </row>
    <row r="20" spans="2:20" x14ac:dyDescent="0.2">
      <c r="B20" s="237">
        <v>1</v>
      </c>
      <c r="C20" s="278" t="str">
        <f>IF(ISERROR(VLOOKUP(B20,$R$20:$T$49,2,FALSE)),"",(VLOOKUP(B20,$R$20:$T$49,2,FALSE)))</f>
        <v>EZU</v>
      </c>
      <c r="D20" s="280" t="str">
        <f>IF(ISERROR(VLOOKUP(B20,$R$20:$T$49,3,FALSE)),"",(VLOOKUP(B20,$R$20:$T$49,3,FALSE)))</f>
        <v xml:space="preserve">iShares Eurozone </v>
      </c>
      <c r="E20" s="281"/>
      <c r="F20" s="552">
        <v>46.55</v>
      </c>
      <c r="G20" s="552">
        <v>46.2</v>
      </c>
      <c r="H20" s="552">
        <v>46.48</v>
      </c>
      <c r="I20" s="558">
        <v>47.21</v>
      </c>
      <c r="J20" s="553">
        <v>47.93</v>
      </c>
      <c r="P20" s="237" t="str">
        <f>Trades!G32</f>
        <v>Buy</v>
      </c>
      <c r="Q20" s="237" t="str">
        <f>IF(ISERROR(VLOOKUP(Trades!C32,'Price Inputs'!$C$6:$C$15,1,FALSE)),"New","Bought")</f>
        <v>New</v>
      </c>
      <c r="R20" s="277">
        <f>IF(AND(P20="Buy",Q20="New"),COUNTIFS($P$20:P20,"Buy",$Q$20:Q20,"New"),"")</f>
        <v>1</v>
      </c>
      <c r="S20" s="237" t="str">
        <f>Trades!C32</f>
        <v>EZU</v>
      </c>
      <c r="T20" s="237" t="str">
        <f>Trades!D32</f>
        <v xml:space="preserve">iShares Eurozone </v>
      </c>
    </row>
    <row r="21" spans="2:20" x14ac:dyDescent="0.2">
      <c r="B21" s="237">
        <v>2</v>
      </c>
      <c r="C21" s="282" t="str">
        <f t="shared" ref="C21:C49" si="2">IF(ISERROR(VLOOKUP(B21,$R$20:$S$49,2,FALSE)),"",(VLOOKUP(B21,$R$20:$S$49,2,FALSE)))</f>
        <v/>
      </c>
      <c r="D21" s="279" t="str">
        <f t="shared" ref="D21:D49" si="3">IF(ISERROR(VLOOKUP(B21,$R$20:$T$49,3,FALSE)),"",(VLOOKUP(B21,$R$20:$T$49,3,FALSE)))</f>
        <v/>
      </c>
      <c r="E21" s="283"/>
      <c r="F21" s="559"/>
      <c r="G21" s="554"/>
      <c r="H21" s="554"/>
      <c r="I21" s="560"/>
      <c r="J21" s="555"/>
      <c r="P21" s="237" t="str">
        <f>Trades!G33</f>
        <v>Sell</v>
      </c>
      <c r="Q21" s="237" t="str">
        <f>IF(ISERROR(VLOOKUP(Trades!C33,'Price Inputs'!$C$6:$C$15,1,FALSE)),"New","Bought")</f>
        <v>Bought</v>
      </c>
      <c r="R21" s="277" t="str">
        <f>IF(AND(P21="Buy",Q21="New"),COUNTIFS($P$20:P21,"Buy",$Q$20:Q21,"New"),"")</f>
        <v/>
      </c>
      <c r="S21" s="237" t="str">
        <f>Trades!C33</f>
        <v>VTI</v>
      </c>
      <c r="T21" s="237" t="str">
        <f>Trades!D33</f>
        <v xml:space="preserve">Vanguard Total Stock Mrkt </v>
      </c>
    </row>
    <row r="22" spans="2:20" x14ac:dyDescent="0.2">
      <c r="B22" s="237">
        <v>3</v>
      </c>
      <c r="C22" s="282" t="str">
        <f t="shared" si="2"/>
        <v/>
      </c>
      <c r="D22" s="279" t="str">
        <f t="shared" si="3"/>
        <v/>
      </c>
      <c r="E22" s="283"/>
      <c r="F22" s="559"/>
      <c r="G22" s="554"/>
      <c r="H22" s="554"/>
      <c r="I22" s="560"/>
      <c r="J22" s="555"/>
      <c r="P22" s="237">
        <f>Trades!G34</f>
        <v>0</v>
      </c>
      <c r="Q22" s="237" t="str">
        <f>IF(ISERROR(VLOOKUP(Trades!C34,'Price Inputs'!$C$6:$C$15,1,FALSE)),"New","Bought")</f>
        <v>New</v>
      </c>
      <c r="R22" s="277" t="str">
        <f>IF(AND(P22="Buy",Q22="New"),COUNTIFS($P$20:P22,"Buy",$Q$20:Q22,"New"),"")</f>
        <v/>
      </c>
      <c r="S22" s="237">
        <f>Trades!C34</f>
        <v>0</v>
      </c>
      <c r="T22" s="237" t="str">
        <f>Trades!D34</f>
        <v/>
      </c>
    </row>
    <row r="23" spans="2:20" x14ac:dyDescent="0.2">
      <c r="B23" s="237">
        <v>4</v>
      </c>
      <c r="C23" s="282" t="str">
        <f t="shared" si="2"/>
        <v/>
      </c>
      <c r="D23" s="279" t="str">
        <f t="shared" si="3"/>
        <v/>
      </c>
      <c r="E23" s="283"/>
      <c r="F23" s="559"/>
      <c r="G23" s="554"/>
      <c r="H23" s="554"/>
      <c r="I23" s="560"/>
      <c r="J23" s="555"/>
      <c r="P23" s="237">
        <f>Trades!G35</f>
        <v>0</v>
      </c>
      <c r="Q23" s="237" t="str">
        <f>IF(ISERROR(VLOOKUP(Trades!C35,'Price Inputs'!$C$6:$C$15,1,FALSE)),"New","Bought")</f>
        <v>New</v>
      </c>
      <c r="R23" s="277" t="str">
        <f>IF(AND(P23="Buy",Q23="New"),COUNTIFS($P$20:P23,"Buy",$Q$20:Q23,"New"),"")</f>
        <v/>
      </c>
      <c r="S23" s="237">
        <f>Trades!C35</f>
        <v>0</v>
      </c>
      <c r="T23" s="237" t="str">
        <f>Trades!D35</f>
        <v/>
      </c>
    </row>
    <row r="24" spans="2:20" x14ac:dyDescent="0.2">
      <c r="B24" s="237">
        <v>5</v>
      </c>
      <c r="C24" s="282" t="str">
        <f t="shared" si="2"/>
        <v/>
      </c>
      <c r="D24" s="279" t="str">
        <f t="shared" si="3"/>
        <v/>
      </c>
      <c r="E24" s="283"/>
      <c r="F24" s="559"/>
      <c r="G24" s="554"/>
      <c r="H24" s="554"/>
      <c r="I24" s="560"/>
      <c r="J24" s="555"/>
      <c r="P24" s="237">
        <f>Trades!G36</f>
        <v>0</v>
      </c>
      <c r="Q24" s="237" t="str">
        <f>IF(ISERROR(VLOOKUP(Trades!C36,'Price Inputs'!$C$6:$C$15,1,FALSE)),"New","Bought")</f>
        <v>New</v>
      </c>
      <c r="R24" s="277" t="str">
        <f>IF(AND(P24="Buy",Q24="New"),COUNTIFS($P$20:P24,"Buy",$Q$20:Q24,"New"),"")</f>
        <v/>
      </c>
      <c r="S24" s="237">
        <f>Trades!C36</f>
        <v>0</v>
      </c>
      <c r="T24" s="237" t="str">
        <f>Trades!D36</f>
        <v/>
      </c>
    </row>
    <row r="25" spans="2:20" x14ac:dyDescent="0.2">
      <c r="B25" s="237">
        <v>6</v>
      </c>
      <c r="C25" s="282" t="str">
        <f t="shared" si="2"/>
        <v/>
      </c>
      <c r="D25" s="279" t="str">
        <f t="shared" si="3"/>
        <v/>
      </c>
      <c r="E25" s="283"/>
      <c r="F25" s="559"/>
      <c r="G25" s="554"/>
      <c r="H25" s="554"/>
      <c r="I25" s="560"/>
      <c r="J25" s="555"/>
      <c r="P25" s="237">
        <f>Trades!G37</f>
        <v>0</v>
      </c>
      <c r="Q25" s="237" t="str">
        <f>IF(ISERROR(VLOOKUP(Trades!C37,'Price Inputs'!$C$6:$C$15,1,FALSE)),"New","Bought")</f>
        <v>New</v>
      </c>
      <c r="R25" s="277" t="str">
        <f>IF(AND(P25="Buy",Q25="New"),COUNTIFS($P$20:P25,"Buy",$Q$20:Q25,"New"),"")</f>
        <v/>
      </c>
      <c r="S25" s="237">
        <f>Trades!C37</f>
        <v>0</v>
      </c>
      <c r="T25" s="237" t="str">
        <f>Trades!D37</f>
        <v/>
      </c>
    </row>
    <row r="26" spans="2:20" x14ac:dyDescent="0.2">
      <c r="B26" s="237">
        <v>7</v>
      </c>
      <c r="C26" s="282" t="str">
        <f t="shared" si="2"/>
        <v/>
      </c>
      <c r="D26" s="279" t="str">
        <f t="shared" si="3"/>
        <v/>
      </c>
      <c r="E26" s="283"/>
      <c r="F26" s="559"/>
      <c r="G26" s="554"/>
      <c r="H26" s="554"/>
      <c r="I26" s="560"/>
      <c r="J26" s="555"/>
      <c r="P26" s="237">
        <f>Trades!G38</f>
        <v>0</v>
      </c>
      <c r="Q26" s="237" t="str">
        <f>IF(ISERROR(VLOOKUP(Trades!C38,'Price Inputs'!$C$6:$C$15,1,FALSE)),"New","Bought")</f>
        <v>New</v>
      </c>
      <c r="R26" s="277" t="str">
        <f>IF(AND(P26="Buy",Q26="New"),COUNTIFS($P$20:P26,"Buy",$Q$20:Q26,"New"),"")</f>
        <v/>
      </c>
      <c r="S26" s="237">
        <f>Trades!C38</f>
        <v>0</v>
      </c>
      <c r="T26" s="237" t="str">
        <f>Trades!D38</f>
        <v/>
      </c>
    </row>
    <row r="27" spans="2:20" x14ac:dyDescent="0.2">
      <c r="B27" s="237">
        <v>8</v>
      </c>
      <c r="C27" s="282" t="str">
        <f t="shared" si="2"/>
        <v/>
      </c>
      <c r="D27" s="279" t="str">
        <f t="shared" si="3"/>
        <v/>
      </c>
      <c r="E27" s="283"/>
      <c r="F27" s="559"/>
      <c r="G27" s="554"/>
      <c r="H27" s="554"/>
      <c r="I27" s="560"/>
      <c r="J27" s="555"/>
      <c r="P27" s="237">
        <f>Trades!G39</f>
        <v>0</v>
      </c>
      <c r="Q27" s="237" t="str">
        <f>IF(ISERROR(VLOOKUP(Trades!C39,'Price Inputs'!$C$6:$C$15,1,FALSE)),"New","Bought")</f>
        <v>New</v>
      </c>
      <c r="R27" s="277" t="str">
        <f>IF(AND(P27="Buy",Q27="New"),COUNTIFS($P$20:P27,"Buy",$Q$20:Q27,"New"),"")</f>
        <v/>
      </c>
      <c r="S27" s="237">
        <f>Trades!C39</f>
        <v>0</v>
      </c>
      <c r="T27" s="237" t="str">
        <f>Trades!D39</f>
        <v/>
      </c>
    </row>
    <row r="28" spans="2:20" x14ac:dyDescent="0.2">
      <c r="B28" s="237">
        <v>9</v>
      </c>
      <c r="C28" s="282" t="str">
        <f t="shared" si="2"/>
        <v/>
      </c>
      <c r="D28" s="279" t="str">
        <f t="shared" si="3"/>
        <v/>
      </c>
      <c r="E28" s="283"/>
      <c r="F28" s="559"/>
      <c r="G28" s="554"/>
      <c r="H28" s="554"/>
      <c r="I28" s="560"/>
      <c r="J28" s="555"/>
      <c r="P28" s="237">
        <f>Trades!G40</f>
        <v>0</v>
      </c>
      <c r="Q28" s="237" t="str">
        <f>IF(ISERROR(VLOOKUP(Trades!C40,'Price Inputs'!$C$6:$C$15,1,FALSE)),"New","Bought")</f>
        <v>New</v>
      </c>
      <c r="R28" s="277" t="str">
        <f>IF(AND(P28="Buy",Q28="New"),COUNTIFS($P$20:P28,"Buy",$Q$20:Q28,"New"),"")</f>
        <v/>
      </c>
      <c r="S28" s="237">
        <f>Trades!C40</f>
        <v>0</v>
      </c>
      <c r="T28" s="237" t="str">
        <f>Trades!D40</f>
        <v/>
      </c>
    </row>
    <row r="29" spans="2:20" x14ac:dyDescent="0.2">
      <c r="B29" s="237">
        <v>10</v>
      </c>
      <c r="C29" s="282" t="str">
        <f t="shared" si="2"/>
        <v/>
      </c>
      <c r="D29" s="279" t="str">
        <f t="shared" si="3"/>
        <v/>
      </c>
      <c r="E29" s="283"/>
      <c r="F29" s="559"/>
      <c r="G29" s="554"/>
      <c r="H29" s="554"/>
      <c r="I29" s="560"/>
      <c r="J29" s="555"/>
      <c r="P29" s="237">
        <f>Trades!G41</f>
        <v>0</v>
      </c>
      <c r="Q29" s="237" t="str">
        <f>IF(ISERROR(VLOOKUP(Trades!C41,'Price Inputs'!$C$6:$C$15,1,FALSE)),"New","Bought")</f>
        <v>New</v>
      </c>
      <c r="R29" s="277" t="str">
        <f>IF(AND(P29="Buy",Q29="New"),COUNTIFS($P$20:P29,"Buy",$Q$20:Q29,"New"),"")</f>
        <v/>
      </c>
      <c r="S29" s="237">
        <f>Trades!C41</f>
        <v>0</v>
      </c>
      <c r="T29" s="237" t="str">
        <f>Trades!D41</f>
        <v/>
      </c>
    </row>
    <row r="30" spans="2:20" x14ac:dyDescent="0.2">
      <c r="B30" s="237">
        <v>11</v>
      </c>
      <c r="C30" s="282" t="str">
        <f t="shared" si="2"/>
        <v/>
      </c>
      <c r="D30" s="279" t="str">
        <f t="shared" si="3"/>
        <v/>
      </c>
      <c r="E30" s="283"/>
      <c r="F30" s="559"/>
      <c r="G30" s="554"/>
      <c r="H30" s="554"/>
      <c r="I30" s="560"/>
      <c r="J30" s="555"/>
      <c r="P30" s="237">
        <f>Trades!G42</f>
        <v>0</v>
      </c>
      <c r="Q30" s="237" t="str">
        <f>IF(ISERROR(VLOOKUP(Trades!C42,'Price Inputs'!$C$6:$C$15,1,FALSE)),"New","Bought")</f>
        <v>New</v>
      </c>
      <c r="R30" s="277" t="str">
        <f>IF(AND(P30="Buy",Q30="New"),COUNTIFS($P$20:P30,"Buy",$Q$20:Q30,"New"),"")</f>
        <v/>
      </c>
      <c r="S30" s="237">
        <f>Trades!C42</f>
        <v>0</v>
      </c>
      <c r="T30" s="237" t="str">
        <f>Trades!D42</f>
        <v/>
      </c>
    </row>
    <row r="31" spans="2:20" x14ac:dyDescent="0.2">
      <c r="B31" s="237">
        <v>12</v>
      </c>
      <c r="C31" s="282" t="str">
        <f t="shared" si="2"/>
        <v/>
      </c>
      <c r="D31" s="279" t="str">
        <f t="shared" si="3"/>
        <v/>
      </c>
      <c r="E31" s="283"/>
      <c r="F31" s="559"/>
      <c r="G31" s="554"/>
      <c r="H31" s="554"/>
      <c r="I31" s="560"/>
      <c r="J31" s="555"/>
      <c r="P31" s="237">
        <f>Trades!G43</f>
        <v>0</v>
      </c>
      <c r="Q31" s="237" t="str">
        <f>IF(ISERROR(VLOOKUP(Trades!C43,'Price Inputs'!$C$6:$C$15,1,FALSE)),"New","Bought")</f>
        <v>New</v>
      </c>
      <c r="R31" s="277" t="str">
        <f>IF(AND(P31="Buy",Q31="New"),COUNTIFS($P$20:P31,"Buy",$Q$20:Q31,"New"),"")</f>
        <v/>
      </c>
      <c r="S31" s="237">
        <f>Trades!C43</f>
        <v>0</v>
      </c>
      <c r="T31" s="237" t="str">
        <f>Trades!D43</f>
        <v/>
      </c>
    </row>
    <row r="32" spans="2:20" x14ac:dyDescent="0.2">
      <c r="B32" s="237">
        <v>13</v>
      </c>
      <c r="C32" s="282" t="str">
        <f t="shared" si="2"/>
        <v/>
      </c>
      <c r="D32" s="279" t="str">
        <f t="shared" si="3"/>
        <v/>
      </c>
      <c r="E32" s="283"/>
      <c r="F32" s="559"/>
      <c r="G32" s="554"/>
      <c r="H32" s="554"/>
      <c r="I32" s="560"/>
      <c r="J32" s="555"/>
      <c r="P32" s="237">
        <f>Trades!G44</f>
        <v>0</v>
      </c>
      <c r="Q32" s="237" t="str">
        <f>IF(ISERROR(VLOOKUP(Trades!C44,'Price Inputs'!$C$6:$C$15,1,FALSE)),"New","Bought")</f>
        <v>New</v>
      </c>
      <c r="R32" s="277" t="str">
        <f>IF(AND(P32="Buy",Q32="New"),COUNTIFS($P$20:P32,"Buy",$Q$20:Q32,"New"),"")</f>
        <v/>
      </c>
      <c r="S32" s="237">
        <f>Trades!C44</f>
        <v>0</v>
      </c>
      <c r="T32" s="237" t="str">
        <f>Trades!D44</f>
        <v/>
      </c>
    </row>
    <row r="33" spans="2:20" x14ac:dyDescent="0.2">
      <c r="B33" s="237">
        <v>14</v>
      </c>
      <c r="C33" s="282" t="str">
        <f t="shared" si="2"/>
        <v/>
      </c>
      <c r="D33" s="279" t="str">
        <f t="shared" si="3"/>
        <v/>
      </c>
      <c r="E33" s="283"/>
      <c r="F33" s="559"/>
      <c r="G33" s="554"/>
      <c r="H33" s="554"/>
      <c r="I33" s="560"/>
      <c r="J33" s="555"/>
      <c r="P33" s="237">
        <f>Trades!G45</f>
        <v>0</v>
      </c>
      <c r="Q33" s="237" t="str">
        <f>IF(ISERROR(VLOOKUP(Trades!C45,'Price Inputs'!$C$6:$C$15,1,FALSE)),"New","Bought")</f>
        <v>New</v>
      </c>
      <c r="R33" s="277" t="str">
        <f>IF(AND(P33="Buy",Q33="New"),COUNTIFS($P$20:P33,"Buy",$Q$20:Q33,"New"),"")</f>
        <v/>
      </c>
      <c r="S33" s="237">
        <f>Trades!C45</f>
        <v>0</v>
      </c>
      <c r="T33" s="237" t="str">
        <f>Trades!D45</f>
        <v/>
      </c>
    </row>
    <row r="34" spans="2:20" x14ac:dyDescent="0.2">
      <c r="B34" s="237">
        <v>15</v>
      </c>
      <c r="C34" s="282" t="str">
        <f t="shared" si="2"/>
        <v/>
      </c>
      <c r="D34" s="279" t="str">
        <f t="shared" si="3"/>
        <v/>
      </c>
      <c r="E34" s="283"/>
      <c r="F34" s="559"/>
      <c r="G34" s="554"/>
      <c r="H34" s="554"/>
      <c r="I34" s="560"/>
      <c r="J34" s="555"/>
      <c r="P34" s="237">
        <f>Trades!G46</f>
        <v>0</v>
      </c>
      <c r="Q34" s="237" t="str">
        <f>IF(ISERROR(VLOOKUP(Trades!C46,'Price Inputs'!$C$6:$C$15,1,FALSE)),"New","Bought")</f>
        <v>New</v>
      </c>
      <c r="R34" s="277" t="str">
        <f>IF(AND(P34="Buy",Q34="New"),COUNTIFS($P$20:P34,"Buy",$Q$20:Q34,"New"),"")</f>
        <v/>
      </c>
      <c r="S34" s="237">
        <f>Trades!C46</f>
        <v>0</v>
      </c>
      <c r="T34" s="237" t="str">
        <f>Trades!D46</f>
        <v/>
      </c>
    </row>
    <row r="35" spans="2:20" x14ac:dyDescent="0.2">
      <c r="B35" s="237">
        <v>16</v>
      </c>
      <c r="C35" s="282" t="str">
        <f t="shared" si="2"/>
        <v/>
      </c>
      <c r="D35" s="279" t="str">
        <f t="shared" si="3"/>
        <v/>
      </c>
      <c r="E35" s="283"/>
      <c r="F35" s="559"/>
      <c r="G35" s="554"/>
      <c r="H35" s="554"/>
      <c r="I35" s="560"/>
      <c r="J35" s="555"/>
      <c r="P35" s="237">
        <f>Trades!G47</f>
        <v>0</v>
      </c>
      <c r="Q35" s="237" t="str">
        <f>IF(ISERROR(VLOOKUP(Trades!C47,'Price Inputs'!$C$6:$C$15,1,FALSE)),"New","Bought")</f>
        <v>New</v>
      </c>
      <c r="R35" s="277" t="str">
        <f>IF(AND(P35="Buy",Q35="New"),COUNTIFS($P$20:P35,"Buy",$Q$20:Q35,"New"),"")</f>
        <v/>
      </c>
      <c r="S35" s="237">
        <f>Trades!C47</f>
        <v>0</v>
      </c>
      <c r="T35" s="237" t="str">
        <f>Trades!D47</f>
        <v/>
      </c>
    </row>
    <row r="36" spans="2:20" x14ac:dyDescent="0.2">
      <c r="B36" s="237">
        <v>17</v>
      </c>
      <c r="C36" s="282" t="str">
        <f t="shared" si="2"/>
        <v/>
      </c>
      <c r="D36" s="279" t="str">
        <f t="shared" si="3"/>
        <v/>
      </c>
      <c r="E36" s="283"/>
      <c r="F36" s="559"/>
      <c r="G36" s="554"/>
      <c r="H36" s="554"/>
      <c r="I36" s="560"/>
      <c r="J36" s="555"/>
      <c r="P36" s="237">
        <f>Trades!G48</f>
        <v>0</v>
      </c>
      <c r="Q36" s="237" t="str">
        <f>IF(ISERROR(VLOOKUP(Trades!C48,'Price Inputs'!$C$6:$C$15,1,FALSE)),"New","Bought")</f>
        <v>New</v>
      </c>
      <c r="R36" s="277" t="str">
        <f>IF(AND(P36="Buy",Q36="New"),COUNTIFS($P$20:P36,"Buy",$Q$20:Q36,"New"),"")</f>
        <v/>
      </c>
      <c r="S36" s="237">
        <f>Trades!C48</f>
        <v>0</v>
      </c>
      <c r="T36" s="237" t="str">
        <f>Trades!D48</f>
        <v/>
      </c>
    </row>
    <row r="37" spans="2:20" x14ac:dyDescent="0.2">
      <c r="B37" s="237">
        <v>18</v>
      </c>
      <c r="C37" s="282" t="str">
        <f t="shared" si="2"/>
        <v/>
      </c>
      <c r="D37" s="279" t="str">
        <f t="shared" si="3"/>
        <v/>
      </c>
      <c r="E37" s="283"/>
      <c r="F37" s="559"/>
      <c r="G37" s="554"/>
      <c r="H37" s="554"/>
      <c r="I37" s="560"/>
      <c r="J37" s="555"/>
      <c r="P37" s="237">
        <f>Trades!G49</f>
        <v>0</v>
      </c>
      <c r="Q37" s="237" t="str">
        <f>IF(ISERROR(VLOOKUP(Trades!C49,'Price Inputs'!$C$6:$C$15,1,FALSE)),"New","Bought")</f>
        <v>New</v>
      </c>
      <c r="R37" s="277" t="str">
        <f>IF(AND(P37="Buy",Q37="New"),COUNTIFS($P$20:P37,"Buy",$Q$20:Q37,"New"),"")</f>
        <v/>
      </c>
      <c r="S37" s="237">
        <f>Trades!C49</f>
        <v>0</v>
      </c>
      <c r="T37" s="237" t="str">
        <f>Trades!D49</f>
        <v/>
      </c>
    </row>
    <row r="38" spans="2:20" x14ac:dyDescent="0.2">
      <c r="B38" s="237">
        <v>19</v>
      </c>
      <c r="C38" s="282" t="str">
        <f t="shared" si="2"/>
        <v/>
      </c>
      <c r="D38" s="279" t="str">
        <f t="shared" si="3"/>
        <v/>
      </c>
      <c r="E38" s="283"/>
      <c r="F38" s="559"/>
      <c r="G38" s="554"/>
      <c r="H38" s="554"/>
      <c r="I38" s="560"/>
      <c r="J38" s="555"/>
      <c r="P38" s="237">
        <f>Trades!G50</f>
        <v>0</v>
      </c>
      <c r="Q38" s="237" t="str">
        <f>IF(ISERROR(VLOOKUP(Trades!C50,'Price Inputs'!$C$6:$C$15,1,FALSE)),"New","Bought")</f>
        <v>New</v>
      </c>
      <c r="R38" s="277" t="str">
        <f>IF(AND(P38="Buy",Q38="New"),COUNTIFS($P$20:P38,"Buy",$Q$20:Q38,"New"),"")</f>
        <v/>
      </c>
      <c r="S38" s="237">
        <f>Trades!C50</f>
        <v>0</v>
      </c>
      <c r="T38" s="237" t="str">
        <f>Trades!D50</f>
        <v/>
      </c>
    </row>
    <row r="39" spans="2:20" x14ac:dyDescent="0.2">
      <c r="B39" s="237">
        <v>20</v>
      </c>
      <c r="C39" s="282" t="str">
        <f t="shared" si="2"/>
        <v/>
      </c>
      <c r="D39" s="279" t="str">
        <f t="shared" si="3"/>
        <v/>
      </c>
      <c r="E39" s="283"/>
      <c r="F39" s="559"/>
      <c r="G39" s="554"/>
      <c r="H39" s="554"/>
      <c r="I39" s="560"/>
      <c r="J39" s="555"/>
      <c r="P39" s="237">
        <f>Trades!G51</f>
        <v>0</v>
      </c>
      <c r="Q39" s="237" t="str">
        <f>IF(ISERROR(VLOOKUP(Trades!C51,'Price Inputs'!$C$6:$C$15,1,FALSE)),"New","Bought")</f>
        <v>New</v>
      </c>
      <c r="R39" s="277" t="str">
        <f>IF(AND(P39="Buy",Q39="New"),COUNTIFS($P$20:P39,"Buy",$Q$20:Q39,"New"),"")</f>
        <v/>
      </c>
      <c r="S39" s="237">
        <f>Trades!C51</f>
        <v>0</v>
      </c>
      <c r="T39" s="237" t="str">
        <f>Trades!D51</f>
        <v/>
      </c>
    </row>
    <row r="40" spans="2:20" x14ac:dyDescent="0.2">
      <c r="B40" s="237">
        <v>21</v>
      </c>
      <c r="C40" s="282" t="str">
        <f t="shared" si="2"/>
        <v/>
      </c>
      <c r="D40" s="279" t="str">
        <f t="shared" si="3"/>
        <v/>
      </c>
      <c r="E40" s="283"/>
      <c r="F40" s="559"/>
      <c r="G40" s="554"/>
      <c r="H40" s="554"/>
      <c r="I40" s="560"/>
      <c r="J40" s="555"/>
      <c r="P40" s="237">
        <f>Trades!G52</f>
        <v>0</v>
      </c>
      <c r="Q40" s="237" t="str">
        <f>IF(ISERROR(VLOOKUP(Trades!C52,'Price Inputs'!$C$6:$C$15,1,FALSE)),"New","Bought")</f>
        <v>New</v>
      </c>
      <c r="R40" s="277" t="str">
        <f>IF(AND(P40="Buy",Q40="New"),COUNTIFS($P$20:P40,"Buy",$Q$20:Q40,"New"),"")</f>
        <v/>
      </c>
      <c r="S40" s="237">
        <f>Trades!C52</f>
        <v>0</v>
      </c>
      <c r="T40" s="237" t="str">
        <f>Trades!D52</f>
        <v/>
      </c>
    </row>
    <row r="41" spans="2:20" x14ac:dyDescent="0.2">
      <c r="B41" s="237">
        <v>22</v>
      </c>
      <c r="C41" s="282" t="str">
        <f t="shared" si="2"/>
        <v/>
      </c>
      <c r="D41" s="279" t="str">
        <f t="shared" si="3"/>
        <v/>
      </c>
      <c r="E41" s="283"/>
      <c r="F41" s="559"/>
      <c r="G41" s="554"/>
      <c r="H41" s="554"/>
      <c r="I41" s="560"/>
      <c r="J41" s="555"/>
      <c r="P41" s="237">
        <f>Trades!G53</f>
        <v>0</v>
      </c>
      <c r="Q41" s="237" t="str">
        <f>IF(ISERROR(VLOOKUP(Trades!C53,'Price Inputs'!$C$6:$C$15,1,FALSE)),"New","Bought")</f>
        <v>New</v>
      </c>
      <c r="R41" s="277" t="str">
        <f>IF(AND(P41="Buy",Q41="New"),COUNTIFS($P$20:P41,"Buy",$Q$20:Q41,"New"),"")</f>
        <v/>
      </c>
      <c r="S41" s="237">
        <f>Trades!C53</f>
        <v>0</v>
      </c>
      <c r="T41" s="237" t="str">
        <f>Trades!D53</f>
        <v/>
      </c>
    </row>
    <row r="42" spans="2:20" x14ac:dyDescent="0.2">
      <c r="B42" s="237">
        <v>23</v>
      </c>
      <c r="C42" s="282" t="str">
        <f t="shared" si="2"/>
        <v/>
      </c>
      <c r="D42" s="279" t="str">
        <f t="shared" si="3"/>
        <v/>
      </c>
      <c r="E42" s="283"/>
      <c r="F42" s="559"/>
      <c r="G42" s="554"/>
      <c r="H42" s="554"/>
      <c r="I42" s="560"/>
      <c r="J42" s="555"/>
      <c r="P42" s="237">
        <f>Trades!G54</f>
        <v>0</v>
      </c>
      <c r="Q42" s="237" t="str">
        <f>IF(ISERROR(VLOOKUP(Trades!C54,'Price Inputs'!$C$6:$C$15,1,FALSE)),"New","Bought")</f>
        <v>New</v>
      </c>
      <c r="R42" s="277" t="str">
        <f>IF(AND(P42="Buy",Q42="New"),COUNTIFS($P$20:P42,"Buy",$Q$20:Q42,"New"),"")</f>
        <v/>
      </c>
      <c r="S42" s="237">
        <f>Trades!C54</f>
        <v>0</v>
      </c>
      <c r="T42" s="237" t="str">
        <f>Trades!D54</f>
        <v/>
      </c>
    </row>
    <row r="43" spans="2:20" x14ac:dyDescent="0.2">
      <c r="B43" s="237">
        <v>24</v>
      </c>
      <c r="C43" s="282" t="str">
        <f t="shared" si="2"/>
        <v/>
      </c>
      <c r="D43" s="279" t="str">
        <f t="shared" si="3"/>
        <v/>
      </c>
      <c r="E43" s="283"/>
      <c r="F43" s="559"/>
      <c r="G43" s="554"/>
      <c r="H43" s="554"/>
      <c r="I43" s="560"/>
      <c r="J43" s="555"/>
      <c r="P43" s="237">
        <f>Trades!G55</f>
        <v>0</v>
      </c>
      <c r="Q43" s="237" t="str">
        <f>IF(ISERROR(VLOOKUP(Trades!C55,'Price Inputs'!$C$6:$C$15,1,FALSE)),"New","Bought")</f>
        <v>New</v>
      </c>
      <c r="R43" s="277" t="str">
        <f>IF(AND(P43="Buy",Q43="New"),COUNTIFS($P$20:P43,"Buy",$Q$20:Q43,"New"),"")</f>
        <v/>
      </c>
      <c r="S43" s="237">
        <f>Trades!C55</f>
        <v>0</v>
      </c>
      <c r="T43" s="237" t="str">
        <f>Trades!D55</f>
        <v/>
      </c>
    </row>
    <row r="44" spans="2:20" x14ac:dyDescent="0.2">
      <c r="B44" s="237">
        <v>25</v>
      </c>
      <c r="C44" s="282" t="str">
        <f t="shared" si="2"/>
        <v/>
      </c>
      <c r="D44" s="279" t="str">
        <f t="shared" si="3"/>
        <v/>
      </c>
      <c r="E44" s="283"/>
      <c r="F44" s="559"/>
      <c r="G44" s="554"/>
      <c r="H44" s="554"/>
      <c r="I44" s="560"/>
      <c r="J44" s="555"/>
      <c r="P44" s="237">
        <f>Trades!G56</f>
        <v>0</v>
      </c>
      <c r="Q44" s="237" t="str">
        <f>IF(ISERROR(VLOOKUP(Trades!C56,'Price Inputs'!$C$6:$C$15,1,FALSE)),"New","Bought")</f>
        <v>New</v>
      </c>
      <c r="R44" s="277" t="str">
        <f>IF(AND(P44="Buy",Q44="New"),COUNTIFS($P$20:P44,"Buy",$Q$20:Q44,"New"),"")</f>
        <v/>
      </c>
      <c r="S44" s="237">
        <f>Trades!C56</f>
        <v>0</v>
      </c>
      <c r="T44" s="237" t="str">
        <f>Trades!D56</f>
        <v/>
      </c>
    </row>
    <row r="45" spans="2:20" x14ac:dyDescent="0.2">
      <c r="B45" s="237">
        <v>26</v>
      </c>
      <c r="C45" s="282" t="str">
        <f t="shared" si="2"/>
        <v/>
      </c>
      <c r="D45" s="279" t="str">
        <f t="shared" si="3"/>
        <v/>
      </c>
      <c r="E45" s="283"/>
      <c r="F45" s="559"/>
      <c r="G45" s="554"/>
      <c r="H45" s="554"/>
      <c r="I45" s="560"/>
      <c r="J45" s="555"/>
      <c r="P45" s="237">
        <f>Trades!G57</f>
        <v>0</v>
      </c>
      <c r="Q45" s="237" t="str">
        <f>IF(ISERROR(VLOOKUP(Trades!C57,'Price Inputs'!$C$6:$C$15,1,FALSE)),"New","Bought")</f>
        <v>New</v>
      </c>
      <c r="R45" s="277" t="str">
        <f>IF(AND(P45="Buy",Q45="New"),COUNTIFS($P$20:P45,"Buy",$Q$20:Q45,"New"),"")</f>
        <v/>
      </c>
      <c r="S45" s="237">
        <f>Trades!C57</f>
        <v>0</v>
      </c>
      <c r="T45" s="237" t="str">
        <f>Trades!D57</f>
        <v/>
      </c>
    </row>
    <row r="46" spans="2:20" x14ac:dyDescent="0.2">
      <c r="B46" s="237">
        <v>27</v>
      </c>
      <c r="C46" s="282" t="str">
        <f t="shared" si="2"/>
        <v/>
      </c>
      <c r="D46" s="279" t="str">
        <f t="shared" si="3"/>
        <v/>
      </c>
      <c r="E46" s="283"/>
      <c r="F46" s="559"/>
      <c r="G46" s="554"/>
      <c r="H46" s="554"/>
      <c r="I46" s="560"/>
      <c r="J46" s="555"/>
      <c r="P46" s="237">
        <f>Trades!G58</f>
        <v>0</v>
      </c>
      <c r="Q46" s="237" t="str">
        <f>IF(ISERROR(VLOOKUP(Trades!C58,'Price Inputs'!$C$6:$C$15,1,FALSE)),"New","Bought")</f>
        <v>New</v>
      </c>
      <c r="R46" s="277" t="str">
        <f>IF(AND(P46="Buy",Q46="New"),COUNTIFS($P$20:P46,"Buy",$Q$20:Q46,"New"),"")</f>
        <v/>
      </c>
      <c r="S46" s="237">
        <f>Trades!C58</f>
        <v>0</v>
      </c>
      <c r="T46" s="237" t="str">
        <f>Trades!D58</f>
        <v/>
      </c>
    </row>
    <row r="47" spans="2:20" x14ac:dyDescent="0.2">
      <c r="B47" s="237">
        <v>28</v>
      </c>
      <c r="C47" s="282" t="str">
        <f t="shared" si="2"/>
        <v/>
      </c>
      <c r="D47" s="279" t="str">
        <f t="shared" si="3"/>
        <v/>
      </c>
      <c r="E47" s="283"/>
      <c r="F47" s="559"/>
      <c r="G47" s="554"/>
      <c r="H47" s="554"/>
      <c r="I47" s="560"/>
      <c r="J47" s="555"/>
      <c r="P47" s="237" t="e">
        <f>Trades!#REF!</f>
        <v>#REF!</v>
      </c>
      <c r="Q47" s="237" t="str">
        <f>IF(ISERROR(VLOOKUP(Trades!#REF!,'Price Inputs'!$C$6:$C$15,1,FALSE)),"New","Bought")</f>
        <v>New</v>
      </c>
      <c r="R47" s="277" t="e">
        <f>IF(AND(P47="Buy",Q47="New"),COUNTIFS($P$20:P47,"Buy",$Q$20:Q47,"New"),"")</f>
        <v>#REF!</v>
      </c>
      <c r="S47" s="237" t="e">
        <f>Trades!#REF!</f>
        <v>#REF!</v>
      </c>
      <c r="T47" s="237" t="e">
        <f>Trades!#REF!</f>
        <v>#REF!</v>
      </c>
    </row>
    <row r="48" spans="2:20" x14ac:dyDescent="0.2">
      <c r="B48" s="237">
        <v>29</v>
      </c>
      <c r="C48" s="282" t="str">
        <f t="shared" si="2"/>
        <v/>
      </c>
      <c r="D48" s="279" t="str">
        <f t="shared" si="3"/>
        <v/>
      </c>
      <c r="E48" s="283"/>
      <c r="F48" s="559"/>
      <c r="G48" s="554"/>
      <c r="H48" s="554"/>
      <c r="I48" s="560"/>
      <c r="J48" s="555"/>
      <c r="P48" s="237">
        <f>Trades!G59</f>
        <v>0</v>
      </c>
      <c r="Q48" s="237" t="str">
        <f>IF(ISERROR(VLOOKUP(Trades!C59,'Price Inputs'!$C$6:$C$15,1,FALSE)),"New","Bought")</f>
        <v>New</v>
      </c>
      <c r="R48" s="277" t="str">
        <f>IF(AND(P48="Buy",Q48="New"),COUNTIFS($P$20:P48,"Buy",$Q$20:Q48,"New"),"")</f>
        <v/>
      </c>
      <c r="S48" s="237">
        <f>Trades!C59</f>
        <v>0</v>
      </c>
      <c r="T48" s="237" t="str">
        <f>Trades!D59</f>
        <v/>
      </c>
    </row>
    <row r="49" spans="2:20" x14ac:dyDescent="0.2">
      <c r="B49" s="237">
        <v>30</v>
      </c>
      <c r="C49" s="284" t="str">
        <f t="shared" si="2"/>
        <v/>
      </c>
      <c r="D49" s="285" t="str">
        <f t="shared" si="3"/>
        <v/>
      </c>
      <c r="E49" s="286"/>
      <c r="F49" s="561"/>
      <c r="G49" s="556"/>
      <c r="H49" s="556"/>
      <c r="I49" s="562"/>
      <c r="J49" s="557"/>
      <c r="P49" s="237" t="e">
        <f>Trades!#REF!</f>
        <v>#REF!</v>
      </c>
      <c r="Q49" s="237" t="str">
        <f>IF(ISERROR(VLOOKUP(Trades!#REF!,'Price Inputs'!$C$6:$C$15,1,FALSE)),"New","Bought")</f>
        <v>New</v>
      </c>
      <c r="R49" s="277" t="e">
        <f>IF(AND(P49="Buy",Q49="New"),COUNTIFS($P$20:P49,"Buy",$Q$20:Q49,"New"),"")</f>
        <v>#REF!</v>
      </c>
      <c r="S49" s="237" t="e">
        <f>Trades!#REF!</f>
        <v>#REF!</v>
      </c>
      <c r="T49" s="237" t="e">
        <f>Trades!#REF!</f>
        <v>#REF!</v>
      </c>
    </row>
  </sheetData>
  <pageMargins left="0.7" right="0.7" top="0.75" bottom="0.75" header="0.3" footer="0.3"/>
  <pageSetup scale="61" fitToHeight="0" orientation="portrait" r:id="rId1"/>
  <colBreaks count="1" manualBreakCount="1">
    <brk id="10"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8000"/>
  </sheetPr>
  <dimension ref="A1:AO99"/>
  <sheetViews>
    <sheetView showGridLines="0" topLeftCell="G2" zoomScaleNormal="100" zoomScaleSheetLayoutView="70" workbookViewId="0">
      <selection activeCell="P26" sqref="P26"/>
    </sheetView>
  </sheetViews>
  <sheetFormatPr baseColWidth="10" defaultColWidth="9.1640625" defaultRowHeight="17.25" customHeight="1" x14ac:dyDescent="0.2"/>
  <cols>
    <col min="1" max="1" width="4.6640625" style="23" customWidth="1"/>
    <col min="2" max="2" width="4.83203125" style="23" customWidth="1"/>
    <col min="3" max="3" width="10.6640625" style="23" customWidth="1"/>
    <col min="4" max="4" width="30.6640625" style="23" customWidth="1"/>
    <col min="5" max="6" width="18.5" style="23" customWidth="1"/>
    <col min="7" max="7" width="18" style="23" customWidth="1"/>
    <col min="8" max="8" width="16.1640625" style="25" customWidth="1"/>
    <col min="9" max="9" width="17.5" style="23" customWidth="1"/>
    <col min="10" max="10" width="15.5" style="23" customWidth="1"/>
    <col min="11" max="19" width="15.5" style="24" customWidth="1"/>
    <col min="20" max="20" width="15.5" style="340" customWidth="1"/>
    <col min="21" max="21" width="9.1640625" style="321" customWidth="1"/>
    <col min="22" max="22" width="18.1640625" style="321" customWidth="1"/>
    <col min="23" max="23" width="19.33203125" style="321" customWidth="1"/>
    <col min="24" max="26" width="23" style="321" customWidth="1"/>
    <col min="27" max="29" width="9.1640625" style="23"/>
    <col min="30" max="41" width="9.1640625" style="29"/>
    <col min="42" max="16384" width="9.1640625" style="23"/>
  </cols>
  <sheetData>
    <row r="1" spans="1:29" ht="17.25" customHeight="1" x14ac:dyDescent="0.25">
      <c r="A1" s="3" t="s">
        <v>463</v>
      </c>
      <c r="H1" s="23"/>
    </row>
    <row r="2" spans="1:29" ht="17.25" customHeight="1" x14ac:dyDescent="0.2">
      <c r="H2" s="23"/>
    </row>
    <row r="3" spans="1:29" ht="17.25" customHeight="1" x14ac:dyDescent="0.2">
      <c r="C3" s="118" t="s">
        <v>394</v>
      </c>
      <c r="E3" s="171">
        <f>Initial_Cash</f>
        <v>990000</v>
      </c>
      <c r="H3" s="23"/>
    </row>
    <row r="4" spans="1:29" ht="17.25" customHeight="1" x14ac:dyDescent="0.2">
      <c r="C4" s="118" t="s">
        <v>393</v>
      </c>
      <c r="E4" s="171">
        <f>Extra_Cash</f>
        <v>10000</v>
      </c>
      <c r="H4" s="23"/>
    </row>
    <row r="5" spans="1:29" ht="17.25" customHeight="1" x14ac:dyDescent="0.2">
      <c r="C5" s="172" t="s">
        <v>354</v>
      </c>
      <c r="E5" s="563" t="s">
        <v>319</v>
      </c>
      <c r="H5" s="23"/>
    </row>
    <row r="6" spans="1:29" ht="17.25" customHeight="1" x14ac:dyDescent="0.2">
      <c r="C6" s="118"/>
      <c r="E6" s="170"/>
      <c r="H6" s="23"/>
      <c r="V6" s="600" t="s">
        <v>149</v>
      </c>
      <c r="W6" s="600" t="s">
        <v>303</v>
      </c>
      <c r="X6" s="600" t="s">
        <v>301</v>
      </c>
      <c r="Y6" s="600" t="s">
        <v>350</v>
      </c>
      <c r="Z6" s="600" t="s">
        <v>341</v>
      </c>
    </row>
    <row r="7" spans="1:29" s="29" customFormat="1" ht="26" x14ac:dyDescent="0.3">
      <c r="A7" s="23"/>
      <c r="B7" s="23"/>
      <c r="C7" s="96" t="s">
        <v>150</v>
      </c>
      <c r="D7" s="26"/>
      <c r="E7" s="26"/>
      <c r="F7" s="26"/>
      <c r="G7" s="26"/>
      <c r="H7" s="27"/>
      <c r="I7" s="26"/>
      <c r="J7" s="27"/>
      <c r="K7" s="28"/>
      <c r="L7" s="28"/>
      <c r="M7" s="28"/>
      <c r="N7" s="28"/>
      <c r="O7" s="28"/>
      <c r="P7" s="28"/>
      <c r="Q7" s="28"/>
      <c r="R7" s="28"/>
      <c r="S7" s="28"/>
      <c r="T7" s="341"/>
      <c r="U7" s="321" t="s">
        <v>234</v>
      </c>
      <c r="V7" s="601">
        <f>VLOOKUP(V6,'Policy Portfolio'!$L$39:$N$43,3,FALSE)</f>
        <v>0.01</v>
      </c>
      <c r="W7" s="601">
        <f>VLOOKUP(W6,'Policy Portfolio'!$L$39:$N$43,3,FALSE)</f>
        <v>0.3</v>
      </c>
      <c r="X7" s="601">
        <f>VLOOKUP(X6,'Policy Portfolio'!$L$39:$N$43,3,FALSE)</f>
        <v>0.35</v>
      </c>
      <c r="Y7" s="601">
        <f>VLOOKUP(Y6,'Policy Portfolio'!$L$39:$N$43,3,FALSE)</f>
        <v>0</v>
      </c>
      <c r="Z7" s="601">
        <f>VLOOKUP(Z6,'Policy Portfolio'!$L$39:$N$43,3,FALSE)</f>
        <v>0.34</v>
      </c>
      <c r="AA7" s="23"/>
      <c r="AB7" s="23"/>
      <c r="AC7" s="23"/>
    </row>
    <row r="8" spans="1:29" s="29" customFormat="1" ht="21" x14ac:dyDescent="0.25">
      <c r="A8" s="23"/>
      <c r="B8" s="23"/>
      <c r="C8" s="173" t="s">
        <v>170</v>
      </c>
      <c r="D8" s="174"/>
      <c r="E8" s="175">
        <f>SUM(J10:J40)</f>
        <v>1031468.11</v>
      </c>
      <c r="F8" s="175"/>
      <c r="G8" s="176"/>
      <c r="H8" s="306"/>
      <c r="I8" s="177"/>
      <c r="J8" s="383" t="s">
        <v>163</v>
      </c>
      <c r="K8" s="384">
        <f>$E$8/SUM($E$3:$E$4)-1</f>
        <v>3.1468110000000049E-2</v>
      </c>
      <c r="N8" s="274"/>
      <c r="T8" s="342"/>
      <c r="U8" s="321" t="s">
        <v>363</v>
      </c>
      <c r="V8" s="339">
        <f>SUM(V10:V25)</f>
        <v>10025.549999999988</v>
      </c>
      <c r="W8" s="338">
        <f>SUM(W10:W25)</f>
        <v>299400.60000000003</v>
      </c>
      <c r="X8" s="338">
        <f>SUM(X10:X25)</f>
        <v>170207.59</v>
      </c>
      <c r="Y8" s="338">
        <f>SUM(Y10:Y25)</f>
        <v>202791.83</v>
      </c>
      <c r="Z8" s="338">
        <f>SUM(Z10:Z25)</f>
        <v>349042.54</v>
      </c>
      <c r="AA8" s="23"/>
      <c r="AB8" s="23"/>
      <c r="AC8" s="23"/>
    </row>
    <row r="9" spans="1:29" s="29" customFormat="1" ht="45.5" customHeight="1" x14ac:dyDescent="0.2">
      <c r="A9" s="23"/>
      <c r="B9" s="23"/>
      <c r="C9" s="178" t="s">
        <v>0</v>
      </c>
      <c r="D9" s="49" t="s">
        <v>1</v>
      </c>
      <c r="E9" s="49" t="s">
        <v>408</v>
      </c>
      <c r="F9" s="49" t="s">
        <v>32</v>
      </c>
      <c r="G9" s="50" t="s">
        <v>144</v>
      </c>
      <c r="H9" s="51" t="s">
        <v>153</v>
      </c>
      <c r="I9" s="51" t="s">
        <v>377</v>
      </c>
      <c r="J9" s="49" t="s">
        <v>155</v>
      </c>
      <c r="K9" s="51" t="s">
        <v>457</v>
      </c>
      <c r="T9" s="342"/>
      <c r="U9" s="602"/>
      <c r="V9" s="339"/>
      <c r="W9" s="338"/>
      <c r="X9" s="338"/>
      <c r="Y9" s="338"/>
      <c r="Z9" s="338"/>
      <c r="AA9" s="23"/>
      <c r="AB9" s="23"/>
      <c r="AC9" s="23"/>
    </row>
    <row r="10" spans="1:29" s="360" customFormat="1" ht="17.25" customHeight="1" x14ac:dyDescent="0.2">
      <c r="A10" s="449"/>
      <c r="B10" s="118"/>
      <c r="C10" s="373"/>
      <c r="D10" s="117" t="s">
        <v>149</v>
      </c>
      <c r="E10" s="117"/>
      <c r="F10" s="117" t="s">
        <v>149</v>
      </c>
      <c r="G10" s="117"/>
      <c r="H10" s="450"/>
      <c r="I10" s="451"/>
      <c r="J10" s="452">
        <f>Initial_Cash+Extra_Cash+SUMIFS(Trades!$O$9:$O$17,Trades!$K$9:$K$17,"&lt;="&amp;HLOOKUP('Current Portfolio'!E5,'Portfolio Bucket'!$D$1:$I$2,2,FALSE))+SUMIFS(Trades!$O$32:$O$59,Trades!$K$32:$K$59,"&lt;="&amp;HLOOKUP('Current Portfolio'!E5,'Portfolio Bucket'!$D$1:$I$2,2,FALSE))+SUMIFS(Trades!$O$32:$O$59,Trades!$M$32:$M$59,"&lt;="&amp;HLOOKUP('Current Portfolio'!E5,'Portfolio Bucket'!$D$1:$I$2,2,FALSE))</f>
        <v>10025.549999999988</v>
      </c>
      <c r="K10" s="453">
        <f>IF(ISNUMBER(J10),J10/SUM(Mrkt_Value,$J$10),0)</f>
        <v>9.7196897342759249E-3</v>
      </c>
      <c r="T10" s="454"/>
      <c r="U10" s="603"/>
      <c r="V10" s="455">
        <f>IF($F10=V$6,$J10,0)</f>
        <v>10025.549999999988</v>
      </c>
      <c r="W10" s="455">
        <f>IF($F10=W$6,$J10,0)</f>
        <v>0</v>
      </c>
      <c r="X10" s="455">
        <f t="shared" ref="X10:Z10" si="0">IF($F10=X$6,$J10,0)</f>
        <v>0</v>
      </c>
      <c r="Y10" s="455">
        <f t="shared" si="0"/>
        <v>0</v>
      </c>
      <c r="Z10" s="455">
        <f t="shared" si="0"/>
        <v>0</v>
      </c>
      <c r="AA10" s="118"/>
      <c r="AB10" s="118"/>
      <c r="AC10" s="118"/>
    </row>
    <row r="11" spans="1:29" s="29" customFormat="1" ht="17.25" customHeight="1" x14ac:dyDescent="0.2">
      <c r="A11" s="329">
        <f>IF(B11&lt;='Policy Portfolio'!$A$17,'Current Portfolio'!$B11,$B11)</f>
        <v>1</v>
      </c>
      <c r="B11" s="321">
        <v>1</v>
      </c>
      <c r="C11" s="456" t="str">
        <f>IF(ISERROR(VLOOKUP(B11,'Portfolio Bucket'!$A$2:$C$69,2,FALSE)),"",VLOOKUP(B11,'Portfolio Bucket'!$A$2:$C$69,3,FALSE))</f>
        <v>BWX</v>
      </c>
      <c r="D11" s="255" t="str">
        <f>IF(C11="","",VLOOKUP(C11,'ETF List'!$C$1:$J$200,3,0))</f>
        <v>SPDR BBG Barclays Intl Treasury</v>
      </c>
      <c r="E11" s="255" t="str">
        <f>IF(C11="","",IF(ISERROR(VLOOKUP(C11,'Policy Portfolio'!$H$21:$H$29,1,FALSE)),"Tactical","Policy"))</f>
        <v>Policy</v>
      </c>
      <c r="F11" s="255" t="str">
        <f>IF(C11="","",VLOOKUP(C11,'ETF List'!$C$1:$J$200,4,0))</f>
        <v>Bonds</v>
      </c>
      <c r="G11" s="255" t="str">
        <f>IF(C11="","",VLOOKUP(C11,'ETF List'!$C$1:$J$200,5,0))</f>
        <v>Sovereigns</v>
      </c>
      <c r="H11" s="457">
        <f>IF(C11="","",INDEX('Portfolio Bucket'!$C$2:$I$69,MATCH(C11,'Portfolio Bucket'!$C$2:$C$69,0),MATCH($E$5,'Portfolio Bucket'!$C$1:$I$1,0)))</f>
        <v>10132</v>
      </c>
      <c r="I11" s="458">
        <f>IF(C11="","",IF(INDEX('Price Inputs'!$C$5:$J$49,MATCH(C11,'Price Inputs'!$C$5:$C$49,0),MATCH('Current Portfolio'!$E$5,'Price Inputs'!$C$5:$J$5,0))=0,VLOOKUP(C11,Trades!$C$32:$O$59,8,FALSE),INDEX('Price Inputs'!$C$5:$J$49,MATCH(C11,'Price Inputs'!$C$5:$C$49,0),MATCH('Current Portfolio'!$E$5,'Price Inputs'!$C$5:$J$5,0))))</f>
        <v>29.55</v>
      </c>
      <c r="J11" s="459">
        <f t="shared" ref="J11:J40" si="1">IF(C11="","",H11*I11)</f>
        <v>299400.60000000003</v>
      </c>
      <c r="K11" s="460">
        <f t="shared" ref="K11:K19" si="2">IF(ISNUMBER(J11),J11/SUM(Mrkt_Value,$J$10),"")</f>
        <v>0.29026646301260839</v>
      </c>
      <c r="T11" s="342"/>
      <c r="U11" s="604"/>
      <c r="V11" s="338">
        <f t="shared" ref="V11:W40" si="3">IF($F11=V$6,$J11,0)</f>
        <v>0</v>
      </c>
      <c r="W11" s="338">
        <f t="shared" si="3"/>
        <v>299400.60000000003</v>
      </c>
      <c r="X11" s="338">
        <f t="shared" ref="X11:Z40" si="4">IF($F11=X$6,$J11,0)</f>
        <v>0</v>
      </c>
      <c r="Y11" s="338">
        <f t="shared" si="4"/>
        <v>0</v>
      </c>
      <c r="Z11" s="338">
        <f t="shared" si="4"/>
        <v>0</v>
      </c>
      <c r="AA11" s="23"/>
      <c r="AB11" s="23"/>
      <c r="AC11" s="23"/>
    </row>
    <row r="12" spans="1:29" s="29" customFormat="1" ht="17.25" customHeight="1" x14ac:dyDescent="0.2">
      <c r="A12" s="329">
        <f>IF(B12&lt;='Policy Portfolio'!$A$17,'Current Portfolio'!$B12,$B12)</f>
        <v>2</v>
      </c>
      <c r="B12" s="321">
        <v>2</v>
      </c>
      <c r="C12" s="461" t="str">
        <f>IF(ISERROR(VLOOKUP(B12,'Portfolio Bucket'!$A$2:$C$69,2,FALSE)),"",VLOOKUP(B12,'Portfolio Bucket'!$A$2:$C$69,3,FALSE))</f>
        <v>EZU</v>
      </c>
      <c r="D12" s="30" t="str">
        <f>IF(C12="","",VLOOKUP(C12,'ETF List'!$C$1:$J$200,3,0))</f>
        <v xml:space="preserve">iShares Eurozone </v>
      </c>
      <c r="E12" s="30" t="str">
        <f>IF(C12="","",IF(ISERROR(VLOOKUP(C12,'Policy Portfolio'!$H$21:$H$29,1,FALSE)),"Tactical","Policy"))</f>
        <v>Tactical</v>
      </c>
      <c r="F12" s="30" t="str">
        <f>IF(C12="","",VLOOKUP(C12,'ETF List'!$C$1:$J$200,4,0))</f>
        <v>Intl Equity</v>
      </c>
      <c r="G12" s="30" t="str">
        <f>IF(C12="","",VLOOKUP(C12,'ETF List'!$C$1:$J$200,5,0))</f>
        <v>Developed Mrkts</v>
      </c>
      <c r="H12" s="462">
        <f>IF(C12="","",INDEX('Portfolio Bucket'!$C$2:$I$69,MATCH(C12,'Portfolio Bucket'!$C$2:$C$69,0),MATCH($E$5,'Portfolio Bucket'!$C$1:$I$1,0)))</f>
        <v>4231</v>
      </c>
      <c r="I12" s="458">
        <f>IF(C12="","",IF(INDEX('Price Inputs'!$C$5:$J$49,MATCH(C12,'Price Inputs'!$C$5:$C$49,0),MATCH('Current Portfolio'!$E$5,'Price Inputs'!$C$5:$J$5,0))=0,VLOOKUP(C12,Trades!$C$32:$O$59,8,FALSE),INDEX('Price Inputs'!$C$5:$J$49,MATCH(C12,'Price Inputs'!$C$5:$C$49,0),MATCH('Current Portfolio'!$E$5,'Price Inputs'!$C$5:$J$5,0))))</f>
        <v>47.93</v>
      </c>
      <c r="J12" s="463">
        <f t="shared" si="1"/>
        <v>202791.83</v>
      </c>
      <c r="K12" s="464">
        <f t="shared" si="2"/>
        <v>0.1966050409449886</v>
      </c>
      <c r="T12" s="342"/>
      <c r="U12" s="604"/>
      <c r="V12" s="338">
        <f t="shared" si="3"/>
        <v>0</v>
      </c>
      <c r="W12" s="338">
        <f t="shared" si="3"/>
        <v>0</v>
      </c>
      <c r="X12" s="338">
        <f t="shared" si="4"/>
        <v>0</v>
      </c>
      <c r="Y12" s="338">
        <f t="shared" si="4"/>
        <v>202791.83</v>
      </c>
      <c r="Z12" s="338">
        <f t="shared" si="4"/>
        <v>0</v>
      </c>
      <c r="AA12" s="23"/>
      <c r="AB12" s="23"/>
      <c r="AC12" s="23"/>
    </row>
    <row r="13" spans="1:29" s="29" customFormat="1" ht="17.25" customHeight="1" x14ac:dyDescent="0.2">
      <c r="A13" s="329">
        <f>IF(B13&lt;='Policy Portfolio'!$A$17,'Current Portfolio'!$B13,$B13)</f>
        <v>3</v>
      </c>
      <c r="B13" s="321">
        <v>3</v>
      </c>
      <c r="C13" s="461" t="str">
        <f>IF(ISERROR(VLOOKUP(B13,'Portfolio Bucket'!$A$2:$C$69,2,FALSE)),"",VLOOKUP(B13,'Portfolio Bucket'!$A$2:$C$69,3,FALSE))</f>
        <v>IAU</v>
      </c>
      <c r="D13" s="30" t="str">
        <f>IF(C13="","",VLOOKUP(C13,'ETF List'!$C$1:$J$200,3,0))</f>
        <v>iShares Gold Trust</v>
      </c>
      <c r="E13" s="30" t="str">
        <f>IF(C13="","",IF(ISERROR(VLOOKUP(C13,'Policy Portfolio'!$H$21:$H$29,1,FALSE)),"Tactical","Policy"))</f>
        <v>Policy</v>
      </c>
      <c r="F13" s="30" t="str">
        <f>IF(C13="","",VLOOKUP(C13,'ETF List'!$C$1:$J$200,4,0))</f>
        <v>Alternatives</v>
      </c>
      <c r="G13" s="30" t="str">
        <f>IF(C13="","",VLOOKUP(C13,'ETF List'!$C$1:$J$200,5,0))</f>
        <v>Commodity</v>
      </c>
      <c r="H13" s="462">
        <f>IF(C13="","",INDEX('Portfolio Bucket'!$C$2:$I$69,MATCH(C13,'Portfolio Bucket'!$C$2:$C$69,0),MATCH($E$5,'Portfolio Bucket'!$C$1:$I$1,0)))</f>
        <v>21014</v>
      </c>
      <c r="I13" s="458">
        <f>IF(C13="","",IF(INDEX('Price Inputs'!$C$5:$J$49,MATCH(C13,'Price Inputs'!$C$5:$C$49,0),MATCH('Current Portfolio'!$E$5,'Price Inputs'!$C$5:$J$5,0))=0,VLOOKUP(C13,Trades!$C$32:$O$59,8,FALSE),INDEX('Price Inputs'!$C$5:$J$49,MATCH(C13,'Price Inputs'!$C$5:$C$49,0),MATCH('Current Portfolio'!$E$5,'Price Inputs'!$C$5:$J$5,0))))</f>
        <v>16.61</v>
      </c>
      <c r="J13" s="463">
        <f t="shared" si="1"/>
        <v>349042.54</v>
      </c>
      <c r="K13" s="464">
        <f t="shared" si="2"/>
        <v>0.33839392281357106</v>
      </c>
      <c r="T13" s="342"/>
      <c r="U13" s="604"/>
      <c r="V13" s="338">
        <f t="shared" si="3"/>
        <v>0</v>
      </c>
      <c r="W13" s="338">
        <f t="shared" si="3"/>
        <v>0</v>
      </c>
      <c r="X13" s="338">
        <f t="shared" si="4"/>
        <v>0</v>
      </c>
      <c r="Y13" s="338">
        <f t="shared" si="4"/>
        <v>0</v>
      </c>
      <c r="Z13" s="338">
        <f t="shared" si="4"/>
        <v>349042.54</v>
      </c>
      <c r="AA13" s="23"/>
      <c r="AB13" s="23"/>
      <c r="AC13" s="23"/>
    </row>
    <row r="14" spans="1:29" s="29" customFormat="1" ht="17.25" customHeight="1" x14ac:dyDescent="0.2">
      <c r="A14" s="329">
        <f>IF(B14&lt;='Policy Portfolio'!$A$17,'Current Portfolio'!$B14,$B14)</f>
        <v>4</v>
      </c>
      <c r="B14" s="321">
        <v>4</v>
      </c>
      <c r="C14" s="461" t="str">
        <f>IF(ISERROR(VLOOKUP(B14,'Portfolio Bucket'!$A$2:$C$69,2,FALSE)),"",VLOOKUP(B14,'Portfolio Bucket'!$A$2:$C$69,3,FALSE))</f>
        <v>VTI</v>
      </c>
      <c r="D14" s="30" t="str">
        <f>IF(C14="","",VLOOKUP(C14,'ETF List'!$C$1:$J$200,3,0))</f>
        <v xml:space="preserve">Vanguard Total Stock Mrkt </v>
      </c>
      <c r="E14" s="30" t="str">
        <f>IF(C14="","",IF(ISERROR(VLOOKUP(C14,'Policy Portfolio'!$H$21:$H$29,1,FALSE)),"Tactical","Policy"))</f>
        <v>Policy</v>
      </c>
      <c r="F14" s="30" t="str">
        <f>IF(C14="","",VLOOKUP(C14,'ETF List'!$C$1:$J$200,4,0))</f>
        <v>US Equity</v>
      </c>
      <c r="G14" s="30" t="str">
        <f>IF(C14="","",VLOOKUP(C14,'ETF List'!$C$1:$J$200,5,0))</f>
        <v>Broad Mrkt</v>
      </c>
      <c r="H14" s="462">
        <f>IF(C14="","",INDEX('Portfolio Bucket'!$C$2:$I$69,MATCH(C14,'Portfolio Bucket'!$C$2:$C$69,0),MATCH($E$5,'Portfolio Bucket'!$C$1:$I$1,0)))</f>
        <v>1633</v>
      </c>
      <c r="I14" s="458">
        <f>IF(C14="","",IF(INDEX('Price Inputs'!$C$5:$J$49,MATCH(C14,'Price Inputs'!$C$5:$C$49,0),MATCH('Current Portfolio'!$E$5,'Price Inputs'!$C$5:$J$5,0))=0,VLOOKUP(C14,Trades!$C$32:$O$59,8,FALSE),INDEX('Price Inputs'!$C$5:$J$49,MATCH(C14,'Price Inputs'!$C$5:$C$49,0),MATCH('Current Portfolio'!$E$5,'Price Inputs'!$C$5:$J$5,0))))</f>
        <v>104.23</v>
      </c>
      <c r="J14" s="463">
        <f t="shared" si="1"/>
        <v>170207.59</v>
      </c>
      <c r="K14" s="464">
        <f t="shared" si="2"/>
        <v>0.16501488349455615</v>
      </c>
      <c r="T14" s="342"/>
      <c r="U14" s="604"/>
      <c r="V14" s="338">
        <f t="shared" si="3"/>
        <v>0</v>
      </c>
      <c r="W14" s="338">
        <f t="shared" si="3"/>
        <v>0</v>
      </c>
      <c r="X14" s="338">
        <f t="shared" si="4"/>
        <v>170207.59</v>
      </c>
      <c r="Y14" s="338">
        <f t="shared" si="4"/>
        <v>0</v>
      </c>
      <c r="Z14" s="338">
        <f t="shared" si="4"/>
        <v>0</v>
      </c>
      <c r="AA14" s="23"/>
      <c r="AB14" s="23"/>
      <c r="AC14" s="23"/>
    </row>
    <row r="15" spans="1:29" s="29" customFormat="1" ht="17.25" customHeight="1" x14ac:dyDescent="0.2">
      <c r="A15" s="329">
        <f>IF(B15&lt;='Policy Portfolio'!$A$17,'Current Portfolio'!$B15,$B15)</f>
        <v>5</v>
      </c>
      <c r="B15" s="321">
        <v>5</v>
      </c>
      <c r="C15" s="461" t="str">
        <f>IF(ISERROR(VLOOKUP(B15,'Portfolio Bucket'!$A$2:$C$69,2,FALSE)),"",VLOOKUP(B15,'Portfolio Bucket'!$A$2:$C$69,3,FALSE))</f>
        <v/>
      </c>
      <c r="D15" s="30" t="str">
        <f>IF(C15="","",VLOOKUP(C15,'ETF List'!$C$1:$J$200,3,0))</f>
        <v/>
      </c>
      <c r="E15" s="30" t="str">
        <f>IF(C15="","",IF(ISERROR(VLOOKUP(C15,'Policy Portfolio'!$H$21:$H$29,1,FALSE)),"Tactical","Policy"))</f>
        <v/>
      </c>
      <c r="F15" s="30" t="str">
        <f>IF(C15="","",VLOOKUP(C15,'ETF List'!$C$1:$J$200,4,0))</f>
        <v/>
      </c>
      <c r="G15" s="30" t="str">
        <f>IF(C15="","",VLOOKUP(C15,'ETF List'!$C$1:$J$200,5,0))</f>
        <v/>
      </c>
      <c r="H15" s="462" t="str">
        <f>IF(C15="","",INDEX('Portfolio Bucket'!$C$2:$I$69,MATCH(C15,'Portfolio Bucket'!$C$2:$C$69,0),MATCH($E$5,'Portfolio Bucket'!$C$1:$I$1,0)))</f>
        <v/>
      </c>
      <c r="I15" s="458" t="str">
        <f>IF(C15="","",IF(INDEX('Price Inputs'!$C$5:$J$49,MATCH(C15,'Price Inputs'!$C$5:$C$49,0),MATCH('Current Portfolio'!$E$5,'Price Inputs'!$C$5:$J$5,0))=0,VLOOKUP(C15,Trades!$C$32:$O$59,8,FALSE),INDEX('Price Inputs'!$C$5:$J$49,MATCH(C15,'Price Inputs'!$C$5:$C$49,0),MATCH('Current Portfolio'!$E$5,'Price Inputs'!$C$5:$J$5,0))))</f>
        <v/>
      </c>
      <c r="J15" s="463" t="str">
        <f t="shared" si="1"/>
        <v/>
      </c>
      <c r="K15" s="464" t="str">
        <f t="shared" si="2"/>
        <v/>
      </c>
      <c r="T15" s="342"/>
      <c r="U15" s="604"/>
      <c r="V15" s="338">
        <f t="shared" si="3"/>
        <v>0</v>
      </c>
      <c r="W15" s="338">
        <f t="shared" si="3"/>
        <v>0</v>
      </c>
      <c r="X15" s="338">
        <f t="shared" si="4"/>
        <v>0</v>
      </c>
      <c r="Y15" s="338">
        <f t="shared" si="4"/>
        <v>0</v>
      </c>
      <c r="Z15" s="338">
        <f t="shared" si="4"/>
        <v>0</v>
      </c>
      <c r="AA15" s="23"/>
      <c r="AB15" s="23"/>
      <c r="AC15" s="23"/>
    </row>
    <row r="16" spans="1:29" s="29" customFormat="1" ht="17.25" customHeight="1" x14ac:dyDescent="0.2">
      <c r="A16" s="329">
        <f>IF(B16&lt;='Policy Portfolio'!$A$17,'Current Portfolio'!$B16,$B16)</f>
        <v>6</v>
      </c>
      <c r="B16" s="321">
        <v>6</v>
      </c>
      <c r="C16" s="461" t="str">
        <f>IF(ISERROR(VLOOKUP(B16,'Portfolio Bucket'!$A$2:$C$69,2,FALSE)),"",VLOOKUP(B16,'Portfolio Bucket'!$A$2:$C$69,3,FALSE))</f>
        <v/>
      </c>
      <c r="D16" s="30" t="str">
        <f>IF(C16="","",VLOOKUP(C16,'ETF List'!$C$1:$J$200,3,0))</f>
        <v/>
      </c>
      <c r="E16" s="30" t="str">
        <f>IF(C16="","",IF(ISERROR(VLOOKUP(C16,'Policy Portfolio'!$H$21:$H$29,1,FALSE)),"Tactical","Policy"))</f>
        <v/>
      </c>
      <c r="F16" s="30" t="str">
        <f>IF(C16="","",VLOOKUP(C16,'ETF List'!$C$1:$J$200,4,0))</f>
        <v/>
      </c>
      <c r="G16" s="30" t="str">
        <f>IF(C16="","",VLOOKUP(C16,'ETF List'!$C$1:$J$200,5,0))</f>
        <v/>
      </c>
      <c r="H16" s="462" t="str">
        <f>IF(C16="","",INDEX('Portfolio Bucket'!$C$2:$I$69,MATCH(C16,'Portfolio Bucket'!$C$2:$C$69,0),MATCH($E$5,'Portfolio Bucket'!$C$1:$I$1,0)))</f>
        <v/>
      </c>
      <c r="I16" s="458" t="str">
        <f>IF(C16="","",IF(INDEX('Price Inputs'!$C$5:$J$49,MATCH(C16,'Price Inputs'!$C$5:$C$49,0),MATCH('Current Portfolio'!$E$5,'Price Inputs'!$C$5:$J$5,0))=0,VLOOKUP(C16,Trades!$C$32:$O$59,8,FALSE),INDEX('Price Inputs'!$C$5:$J$49,MATCH(C16,'Price Inputs'!$C$5:$C$49,0),MATCH('Current Portfolio'!$E$5,'Price Inputs'!$C$5:$J$5,0))))</f>
        <v/>
      </c>
      <c r="J16" s="463" t="str">
        <f t="shared" si="1"/>
        <v/>
      </c>
      <c r="K16" s="464" t="str">
        <f t="shared" si="2"/>
        <v/>
      </c>
      <c r="T16" s="342"/>
      <c r="U16" s="604"/>
      <c r="V16" s="338">
        <f t="shared" si="3"/>
        <v>0</v>
      </c>
      <c r="W16" s="338">
        <f t="shared" si="3"/>
        <v>0</v>
      </c>
      <c r="X16" s="338">
        <f t="shared" si="4"/>
        <v>0</v>
      </c>
      <c r="Y16" s="338">
        <f t="shared" si="4"/>
        <v>0</v>
      </c>
      <c r="Z16" s="338">
        <f t="shared" si="4"/>
        <v>0</v>
      </c>
      <c r="AA16" s="23"/>
      <c r="AB16" s="23"/>
      <c r="AC16" s="23"/>
    </row>
    <row r="17" spans="1:41" s="29" customFormat="1" ht="17.25" customHeight="1" x14ac:dyDescent="0.2">
      <c r="A17" s="329">
        <f>IF(B17&lt;='Policy Portfolio'!$A$17,'Current Portfolio'!$B17,$B17)</f>
        <v>7</v>
      </c>
      <c r="B17" s="321">
        <v>7</v>
      </c>
      <c r="C17" s="461" t="str">
        <f>IF(ISERROR(VLOOKUP(B17,'Portfolio Bucket'!$A$2:$C$69,2,FALSE)),"",VLOOKUP(B17,'Portfolio Bucket'!$A$2:$C$69,3,FALSE))</f>
        <v/>
      </c>
      <c r="D17" s="30" t="str">
        <f>IF(C17="","",VLOOKUP(C17,'ETF List'!$C$1:$J$200,3,0))</f>
        <v/>
      </c>
      <c r="E17" s="30" t="str">
        <f>IF(C17="","",IF(ISERROR(VLOOKUP(C17,'Policy Portfolio'!$H$21:$H$29,1,FALSE)),"Tactical","Policy"))</f>
        <v/>
      </c>
      <c r="F17" s="30" t="str">
        <f>IF(C17="","",VLOOKUP(C17,'ETF List'!$C$1:$J$200,4,0))</f>
        <v/>
      </c>
      <c r="G17" s="30" t="str">
        <f>IF(C17="","",VLOOKUP(C17,'ETF List'!$C$1:$J$200,5,0))</f>
        <v/>
      </c>
      <c r="H17" s="462" t="str">
        <f>IF(C17="","",INDEX('Portfolio Bucket'!$C$2:$I$69,MATCH(C17,'Portfolio Bucket'!$C$2:$C$69,0),MATCH($E$5,'Portfolio Bucket'!$C$1:$I$1,0)))</f>
        <v/>
      </c>
      <c r="I17" s="458" t="str">
        <f>IF(C17="","",IF(INDEX('Price Inputs'!$C$5:$J$49,MATCH(C17,'Price Inputs'!$C$5:$C$49,0),MATCH('Current Portfolio'!$E$5,'Price Inputs'!$C$5:$J$5,0))=0,VLOOKUP(C17,Trades!$C$32:$O$59,8,FALSE),INDEX('Price Inputs'!$C$5:$J$49,MATCH(C17,'Price Inputs'!$C$5:$C$49,0),MATCH('Current Portfolio'!$E$5,'Price Inputs'!$C$5:$J$5,0))))</f>
        <v/>
      </c>
      <c r="J17" s="463" t="str">
        <f t="shared" si="1"/>
        <v/>
      </c>
      <c r="K17" s="464" t="str">
        <f t="shared" si="2"/>
        <v/>
      </c>
      <c r="T17" s="342"/>
      <c r="U17" s="604"/>
      <c r="V17" s="338">
        <f t="shared" si="3"/>
        <v>0</v>
      </c>
      <c r="W17" s="338">
        <f t="shared" si="3"/>
        <v>0</v>
      </c>
      <c r="X17" s="338">
        <f t="shared" si="4"/>
        <v>0</v>
      </c>
      <c r="Y17" s="338">
        <f t="shared" si="4"/>
        <v>0</v>
      </c>
      <c r="Z17" s="338">
        <f t="shared" si="4"/>
        <v>0</v>
      </c>
      <c r="AA17" s="23"/>
      <c r="AB17" s="23"/>
      <c r="AC17" s="23"/>
    </row>
    <row r="18" spans="1:41" s="29" customFormat="1" ht="17.25" customHeight="1" x14ac:dyDescent="0.2">
      <c r="A18" s="329">
        <f>IF(B18&lt;='Policy Portfolio'!$A$17,'Current Portfolio'!$B18,$B18)</f>
        <v>8</v>
      </c>
      <c r="B18" s="321">
        <v>8</v>
      </c>
      <c r="C18" s="461" t="str">
        <f>IF(ISERROR(VLOOKUP(B18,'Portfolio Bucket'!$A$2:$C$69,2,FALSE)),"",VLOOKUP(B18,'Portfolio Bucket'!$A$2:$C$69,3,FALSE))</f>
        <v/>
      </c>
      <c r="D18" s="30" t="str">
        <f>IF(C18="","",VLOOKUP(C18,'ETF List'!$C$1:$J$200,3,0))</f>
        <v/>
      </c>
      <c r="E18" s="30" t="str">
        <f>IF(C18="","",IF(ISERROR(VLOOKUP(C18,'Policy Portfolio'!$H$21:$H$29,1,FALSE)),"Tactical","Policy"))</f>
        <v/>
      </c>
      <c r="F18" s="30" t="str">
        <f>IF(C18="","",VLOOKUP(C18,'ETF List'!$C$1:$J$200,4,0))</f>
        <v/>
      </c>
      <c r="G18" s="30" t="str">
        <f>IF(C18="","",VLOOKUP(C18,'ETF List'!$C$1:$J$200,5,0))</f>
        <v/>
      </c>
      <c r="H18" s="462" t="str">
        <f>IF(C18="","",INDEX('Portfolio Bucket'!$C$2:$I$69,MATCH(C18,'Portfolio Bucket'!$C$2:$C$69,0),MATCH($E$5,'Portfolio Bucket'!$C$1:$I$1,0)))</f>
        <v/>
      </c>
      <c r="I18" s="458" t="str">
        <f>IF(C18="","",IF(INDEX('Price Inputs'!$C$5:$J$49,MATCH(C18,'Price Inputs'!$C$5:$C$49,0),MATCH('Current Portfolio'!$E$5,'Price Inputs'!$C$5:$J$5,0))=0,VLOOKUP(C18,Trades!$C$32:$O$59,8,FALSE),INDEX('Price Inputs'!$C$5:$J$49,MATCH(C18,'Price Inputs'!$C$5:$C$49,0),MATCH('Current Portfolio'!$E$5,'Price Inputs'!$C$5:$J$5,0))))</f>
        <v/>
      </c>
      <c r="J18" s="463" t="str">
        <f t="shared" si="1"/>
        <v/>
      </c>
      <c r="K18" s="464" t="str">
        <f t="shared" si="2"/>
        <v/>
      </c>
      <c r="T18" s="342"/>
      <c r="U18" s="604"/>
      <c r="V18" s="338">
        <f t="shared" si="3"/>
        <v>0</v>
      </c>
      <c r="W18" s="338">
        <f t="shared" si="3"/>
        <v>0</v>
      </c>
      <c r="X18" s="338">
        <f t="shared" si="4"/>
        <v>0</v>
      </c>
      <c r="Y18" s="338">
        <f t="shared" si="4"/>
        <v>0</v>
      </c>
      <c r="Z18" s="338">
        <f t="shared" si="4"/>
        <v>0</v>
      </c>
      <c r="AA18" s="23"/>
      <c r="AB18" s="23"/>
      <c r="AC18" s="23"/>
    </row>
    <row r="19" spans="1:41" s="29" customFormat="1" ht="17.25" customHeight="1" x14ac:dyDescent="0.2">
      <c r="A19" s="329">
        <f>IF(B19&lt;='Policy Portfolio'!$A$17,'Current Portfolio'!$B19,$B19)</f>
        <v>9</v>
      </c>
      <c r="B19" s="321">
        <v>9</v>
      </c>
      <c r="C19" s="461" t="str">
        <f>IF(ISERROR(VLOOKUP(B19,'Portfolio Bucket'!$A$2:$C$69,2,FALSE)),"",VLOOKUP(B19,'Portfolio Bucket'!$A$2:$C$69,3,FALSE))</f>
        <v/>
      </c>
      <c r="D19" s="30" t="str">
        <f>IF(C19="","",VLOOKUP(C19,'ETF List'!$C$1:$J$200,3,0))</f>
        <v/>
      </c>
      <c r="E19" s="30" t="str">
        <f>IF(C19="","",IF(ISERROR(VLOOKUP(C19,'Policy Portfolio'!$H$21:$H$29,1,FALSE)),"Tactical","Policy"))</f>
        <v/>
      </c>
      <c r="F19" s="30" t="str">
        <f>IF(C19="","",VLOOKUP(C19,'ETF List'!$C$1:$J$200,4,0))</f>
        <v/>
      </c>
      <c r="G19" s="30" t="str">
        <f>IF(C19="","",VLOOKUP(C19,'ETF List'!$C$1:$J$200,5,0))</f>
        <v/>
      </c>
      <c r="H19" s="462" t="str">
        <f>IF(C19="","",INDEX('Portfolio Bucket'!$C$2:$I$69,MATCH(C19,'Portfolio Bucket'!$C$2:$C$69,0),MATCH($E$5,'Portfolio Bucket'!$C$1:$I$1,0)))</f>
        <v/>
      </c>
      <c r="I19" s="458" t="str">
        <f>IF(C19="","",IF(INDEX('Price Inputs'!$C$5:$J$49,MATCH(C19,'Price Inputs'!$C$5:$C$49,0),MATCH('Current Portfolio'!$E$5,'Price Inputs'!$C$5:$J$5,0))=0,VLOOKUP(C19,Trades!$C$32:$O$59,8,FALSE),INDEX('Price Inputs'!$C$5:$J$49,MATCH(C19,'Price Inputs'!$C$5:$C$49,0),MATCH('Current Portfolio'!$E$5,'Price Inputs'!$C$5:$J$5,0))))</f>
        <v/>
      </c>
      <c r="J19" s="463" t="str">
        <f t="shared" si="1"/>
        <v/>
      </c>
      <c r="K19" s="464" t="str">
        <f t="shared" si="2"/>
        <v/>
      </c>
      <c r="T19" s="342"/>
      <c r="U19" s="604"/>
      <c r="V19" s="338">
        <f t="shared" si="3"/>
        <v>0</v>
      </c>
      <c r="W19" s="338">
        <f t="shared" si="3"/>
        <v>0</v>
      </c>
      <c r="X19" s="338">
        <f t="shared" si="4"/>
        <v>0</v>
      </c>
      <c r="Y19" s="338">
        <f t="shared" si="4"/>
        <v>0</v>
      </c>
      <c r="Z19" s="338">
        <f t="shared" si="4"/>
        <v>0</v>
      </c>
      <c r="AA19" s="23"/>
      <c r="AB19" s="23"/>
      <c r="AC19" s="23"/>
    </row>
    <row r="20" spans="1:41" s="29" customFormat="1" ht="17.25" customHeight="1" x14ac:dyDescent="0.2">
      <c r="A20" s="329">
        <f>IF(B20&lt;='Policy Portfolio'!$A$17,'Current Portfolio'!$B20,$B20)</f>
        <v>10</v>
      </c>
      <c r="B20" s="321">
        <v>10</v>
      </c>
      <c r="C20" s="461" t="str">
        <f>IF(ISERROR(VLOOKUP(B20,'Portfolio Bucket'!$A$2:$C$69,2,FALSE)),"",VLOOKUP(B20,'Portfolio Bucket'!$A$2:$C$69,3,FALSE))</f>
        <v/>
      </c>
      <c r="D20" s="30" t="str">
        <f>IF(C20="","",VLOOKUP(C20,'ETF List'!$C$1:$J$200,3,0))</f>
        <v/>
      </c>
      <c r="E20" s="30" t="str">
        <f>IF(C20="","",IF(ISERROR(VLOOKUP(C20,'Policy Portfolio'!$H$21:$H$29,1,FALSE)),"Tactical","Policy"))</f>
        <v/>
      </c>
      <c r="F20" s="30" t="str">
        <f>IF(C20="","",VLOOKUP(C20,'ETF List'!$C$1:$J$200,4,0))</f>
        <v/>
      </c>
      <c r="G20" s="30" t="str">
        <f>IF(C20="","",VLOOKUP(C20,'ETF List'!$C$1:$J$200,5,0))</f>
        <v/>
      </c>
      <c r="H20" s="462" t="str">
        <f>IF(C20="","",INDEX('Portfolio Bucket'!$C$2:$I$69,MATCH(C20,'Portfolio Bucket'!$C$2:$C$69,0),MATCH($E$5,'Portfolio Bucket'!$C$1:$I$1,0)))</f>
        <v/>
      </c>
      <c r="I20" s="458" t="str">
        <f>IF(C20="","",IF(INDEX('Price Inputs'!$C$5:$J$49,MATCH(C20,'Price Inputs'!$C$5:$C$49,0),MATCH('Current Portfolio'!$E$5,'Price Inputs'!$C$5:$J$5,0))=0,VLOOKUP(C20,Trades!$C$32:$O$59,8,FALSE),INDEX('Price Inputs'!$C$5:$J$49,MATCH(C20,'Price Inputs'!$C$5:$C$49,0),MATCH('Current Portfolio'!$E$5,'Price Inputs'!$C$5:$J$5,0))))</f>
        <v/>
      </c>
      <c r="J20" s="463" t="str">
        <f t="shared" si="1"/>
        <v/>
      </c>
      <c r="K20" s="464" t="str">
        <f t="shared" ref="K20:K40" si="5">IF(ISNUMBER(J20),J20/SUM(Mrkt_Value,$J$10),"")</f>
        <v/>
      </c>
      <c r="T20" s="342"/>
      <c r="U20" s="604"/>
      <c r="V20" s="338">
        <f t="shared" si="3"/>
        <v>0</v>
      </c>
      <c r="W20" s="338">
        <f t="shared" si="3"/>
        <v>0</v>
      </c>
      <c r="X20" s="338">
        <f t="shared" si="4"/>
        <v>0</v>
      </c>
      <c r="Y20" s="338">
        <f t="shared" si="4"/>
        <v>0</v>
      </c>
      <c r="Z20" s="338">
        <f t="shared" si="4"/>
        <v>0</v>
      </c>
      <c r="AA20" s="23"/>
      <c r="AB20" s="23"/>
      <c r="AC20" s="23"/>
    </row>
    <row r="21" spans="1:41" s="29" customFormat="1" ht="17.25" customHeight="1" x14ac:dyDescent="0.2">
      <c r="A21" s="329">
        <f>IF(B21&lt;='Policy Portfolio'!$A$17,'Current Portfolio'!$B21,$B21)</f>
        <v>11</v>
      </c>
      <c r="B21" s="321">
        <v>11</v>
      </c>
      <c r="C21" s="461" t="str">
        <f>IF(ISERROR(VLOOKUP(B21,'Portfolio Bucket'!$A$2:$C$69,2,FALSE)),"",VLOOKUP(B21,'Portfolio Bucket'!$A$2:$C$69,3,FALSE))</f>
        <v/>
      </c>
      <c r="D21" s="30" t="str">
        <f>IF(C21="","",VLOOKUP(C21,'ETF List'!$C$1:$J$200,3,0))</f>
        <v/>
      </c>
      <c r="E21" s="30" t="str">
        <f>IF(C21="","",IF(ISERROR(VLOOKUP(C21,'Policy Portfolio'!$H$21:$H$29,1,FALSE)),"Tactical","Policy"))</f>
        <v/>
      </c>
      <c r="F21" s="30" t="str">
        <f>IF(C21="","",VLOOKUP(C21,'ETF List'!$C$1:$J$200,4,0))</f>
        <v/>
      </c>
      <c r="G21" s="30" t="str">
        <f>IF(C21="","",VLOOKUP(C21,'ETF List'!$C$1:$J$200,5,0))</f>
        <v/>
      </c>
      <c r="H21" s="462" t="str">
        <f>IF(C21="","",INDEX('Portfolio Bucket'!$C$2:$I$69,MATCH(C21,'Portfolio Bucket'!$C$2:$C$69,0),MATCH($E$5,'Portfolio Bucket'!$C$1:$I$1,0)))</f>
        <v/>
      </c>
      <c r="I21" s="458" t="str">
        <f>IF(C21="","",IF(INDEX('Price Inputs'!$C$5:$J$49,MATCH(C21,'Price Inputs'!$C$5:$C$49,0),MATCH('Current Portfolio'!$E$5,'Price Inputs'!$C$5:$J$5,0))=0,VLOOKUP(C21,Trades!$C$32:$O$59,8,FALSE),INDEX('Price Inputs'!$C$5:$J$49,MATCH(C21,'Price Inputs'!$C$5:$C$49,0),MATCH('Current Portfolio'!$E$5,'Price Inputs'!$C$5:$J$5,0))))</f>
        <v/>
      </c>
      <c r="J21" s="463" t="str">
        <f t="shared" si="1"/>
        <v/>
      </c>
      <c r="K21" s="464" t="str">
        <f>IF(ISNUMBER(J21),J21/SUM(Mrkt_Value,$J$10),"")</f>
        <v/>
      </c>
      <c r="T21" s="342"/>
      <c r="U21" s="604"/>
      <c r="V21" s="338">
        <f t="shared" si="3"/>
        <v>0</v>
      </c>
      <c r="W21" s="338">
        <f t="shared" si="3"/>
        <v>0</v>
      </c>
      <c r="X21" s="338">
        <f t="shared" si="4"/>
        <v>0</v>
      </c>
      <c r="Y21" s="338">
        <f t="shared" si="4"/>
        <v>0</v>
      </c>
      <c r="Z21" s="338">
        <f t="shared" si="4"/>
        <v>0</v>
      </c>
      <c r="AA21" s="23"/>
      <c r="AB21" s="23"/>
      <c r="AC21" s="23"/>
    </row>
    <row r="22" spans="1:41" s="29" customFormat="1" ht="17.25" customHeight="1" x14ac:dyDescent="0.2">
      <c r="A22" s="329">
        <f>IF(B22&lt;='Policy Portfolio'!$A$17,'Current Portfolio'!$B22,$B22)</f>
        <v>12</v>
      </c>
      <c r="B22" s="321">
        <v>12</v>
      </c>
      <c r="C22" s="461" t="str">
        <f>IF(ISERROR(VLOOKUP(B22,'Portfolio Bucket'!$A$2:$C$69,2,FALSE)),"",VLOOKUP(B22,'Portfolio Bucket'!$A$2:$C$69,3,FALSE))</f>
        <v/>
      </c>
      <c r="D22" s="30" t="str">
        <f>IF(C22="","",VLOOKUP(C22,'ETF List'!$C$1:$J$200,3,0))</f>
        <v/>
      </c>
      <c r="E22" s="30" t="str">
        <f>IF(C22="","",IF(ISERROR(VLOOKUP(C22,'Policy Portfolio'!$H$21:$H$29,1,FALSE)),"Tactical","Policy"))</f>
        <v/>
      </c>
      <c r="F22" s="30" t="str">
        <f>IF(C22="","",VLOOKUP(C22,'ETF List'!$C$1:$J$200,4,0))</f>
        <v/>
      </c>
      <c r="G22" s="30" t="str">
        <f>IF(C22="","",VLOOKUP(C22,'ETF List'!$C$1:$J$200,5,0))</f>
        <v/>
      </c>
      <c r="H22" s="462" t="str">
        <f>IF(C22="","",INDEX('Portfolio Bucket'!$C$2:$I$69,MATCH(C22,'Portfolio Bucket'!$C$2:$C$69,0),MATCH($E$5,'Portfolio Bucket'!$C$1:$I$1,0)))</f>
        <v/>
      </c>
      <c r="I22" s="458" t="str">
        <f>IF(C22="","",IF(INDEX('Price Inputs'!$C$5:$J$49,MATCH(C22,'Price Inputs'!$C$5:$C$49,0),MATCH('Current Portfolio'!$E$5,'Price Inputs'!$C$5:$J$5,0))=0,VLOOKUP(C22,Trades!$C$32:$O$59,8,FALSE),INDEX('Price Inputs'!$C$5:$J$49,MATCH(C22,'Price Inputs'!$C$5:$C$49,0),MATCH('Current Portfolio'!$E$5,'Price Inputs'!$C$5:$J$5,0))))</f>
        <v/>
      </c>
      <c r="J22" s="463" t="str">
        <f t="shared" si="1"/>
        <v/>
      </c>
      <c r="K22" s="464" t="str">
        <f t="shared" si="5"/>
        <v/>
      </c>
      <c r="T22" s="342"/>
      <c r="U22" s="604"/>
      <c r="V22" s="338">
        <f t="shared" si="3"/>
        <v>0</v>
      </c>
      <c r="W22" s="338">
        <f t="shared" si="3"/>
        <v>0</v>
      </c>
      <c r="X22" s="338">
        <f t="shared" si="4"/>
        <v>0</v>
      </c>
      <c r="Y22" s="338">
        <f t="shared" si="4"/>
        <v>0</v>
      </c>
      <c r="Z22" s="338">
        <f t="shared" si="4"/>
        <v>0</v>
      </c>
      <c r="AA22" s="23"/>
      <c r="AB22" s="23"/>
      <c r="AC22" s="23"/>
    </row>
    <row r="23" spans="1:41" s="29" customFormat="1" ht="17.25" customHeight="1" x14ac:dyDescent="0.2">
      <c r="A23" s="329">
        <f>IF(B23&lt;='Policy Portfolio'!$A$17,'Current Portfolio'!$B23,$B23)</f>
        <v>13</v>
      </c>
      <c r="B23" s="321">
        <v>13</v>
      </c>
      <c r="C23" s="461" t="str">
        <f>IF(ISERROR(VLOOKUP(B23,'Portfolio Bucket'!$A$2:$C$69,2,FALSE)),"",VLOOKUP(B23,'Portfolio Bucket'!$A$2:$C$69,3,FALSE))</f>
        <v/>
      </c>
      <c r="D23" s="30" t="str">
        <f>IF(C23="","",VLOOKUP(C23,'ETF List'!$C$1:$J$200,3,0))</f>
        <v/>
      </c>
      <c r="E23" s="30" t="str">
        <f>IF(C23="","",IF(ISERROR(VLOOKUP(C23,'Policy Portfolio'!$H$21:$H$29,1,FALSE)),"Tactical","Policy"))</f>
        <v/>
      </c>
      <c r="F23" s="30" t="str">
        <f>IF(C23="","",VLOOKUP(C23,'ETF List'!$C$1:$J$200,4,0))</f>
        <v/>
      </c>
      <c r="G23" s="30" t="str">
        <f>IF(C23="","",VLOOKUP(C23,'ETF List'!$C$1:$J$200,5,0))</f>
        <v/>
      </c>
      <c r="H23" s="462" t="str">
        <f>IF(C23="","",INDEX('Portfolio Bucket'!$C$2:$I$69,MATCH(C23,'Portfolio Bucket'!$C$2:$C$69,0),MATCH($E$5,'Portfolio Bucket'!$C$1:$I$1,0)))</f>
        <v/>
      </c>
      <c r="I23" s="458" t="str">
        <f>IF(C23="","",IF(INDEX('Price Inputs'!$C$5:$J$49,MATCH(C23,'Price Inputs'!$C$5:$C$49,0),MATCH('Current Portfolio'!$E$5,'Price Inputs'!$C$5:$J$5,0))=0,VLOOKUP(C23,Trades!$C$32:$O$59,8,FALSE),INDEX('Price Inputs'!$C$5:$J$49,MATCH(C23,'Price Inputs'!$C$5:$C$49,0),MATCH('Current Portfolio'!$E$5,'Price Inputs'!$C$5:$J$5,0))))</f>
        <v/>
      </c>
      <c r="J23" s="463" t="str">
        <f t="shared" si="1"/>
        <v/>
      </c>
      <c r="K23" s="464" t="str">
        <f t="shared" si="5"/>
        <v/>
      </c>
      <c r="T23" s="342"/>
      <c r="U23" s="604"/>
      <c r="V23" s="338">
        <f t="shared" si="3"/>
        <v>0</v>
      </c>
      <c r="W23" s="338">
        <f t="shared" si="3"/>
        <v>0</v>
      </c>
      <c r="X23" s="338">
        <f t="shared" si="4"/>
        <v>0</v>
      </c>
      <c r="Y23" s="338">
        <f t="shared" si="4"/>
        <v>0</v>
      </c>
      <c r="Z23" s="338">
        <f t="shared" si="4"/>
        <v>0</v>
      </c>
      <c r="AA23" s="23"/>
      <c r="AB23" s="23"/>
      <c r="AC23" s="23"/>
    </row>
    <row r="24" spans="1:41" s="29" customFormat="1" ht="17.25" customHeight="1" x14ac:dyDescent="0.2">
      <c r="A24" s="329">
        <f>IF(B24&lt;='Policy Portfolio'!$A$17,'Current Portfolio'!$B24,$B24)</f>
        <v>14</v>
      </c>
      <c r="B24" s="321">
        <v>14</v>
      </c>
      <c r="C24" s="461" t="str">
        <f>IF(ISERROR(VLOOKUP(B24,'Portfolio Bucket'!$A$2:$C$69,2,FALSE)),"",VLOOKUP(B24,'Portfolio Bucket'!$A$2:$C$69,3,FALSE))</f>
        <v/>
      </c>
      <c r="D24" s="30" t="str">
        <f>IF(C24="","",VLOOKUP(C24,'ETF List'!$C$1:$J$200,3,0))</f>
        <v/>
      </c>
      <c r="E24" s="30" t="str">
        <f>IF(C24="","",IF(ISERROR(VLOOKUP(C24,'Policy Portfolio'!$H$21:$H$29,1,FALSE)),"Tactical","Policy"))</f>
        <v/>
      </c>
      <c r="F24" s="30" t="str">
        <f>IF(C24="","",VLOOKUP(C24,'ETF List'!$C$1:$J$200,4,0))</f>
        <v/>
      </c>
      <c r="G24" s="30" t="str">
        <f>IF(C24="","",VLOOKUP(C24,'ETF List'!$C$1:$J$200,5,0))</f>
        <v/>
      </c>
      <c r="H24" s="462" t="str">
        <f>IF(C24="","",INDEX('Portfolio Bucket'!$C$2:$I$69,MATCH(C24,'Portfolio Bucket'!$C$2:$C$69,0),MATCH($E$5,'Portfolio Bucket'!$C$1:$I$1,0)))</f>
        <v/>
      </c>
      <c r="I24" s="458" t="str">
        <f>IF(C24="","",IF(INDEX('Price Inputs'!$C$5:$J$49,MATCH(C24,'Price Inputs'!$C$5:$C$49,0),MATCH('Current Portfolio'!$E$5,'Price Inputs'!$C$5:$J$5,0))=0,VLOOKUP(C24,Trades!$C$32:$O$59,8,FALSE),INDEX('Price Inputs'!$C$5:$J$49,MATCH(C24,'Price Inputs'!$C$5:$C$49,0),MATCH('Current Portfolio'!$E$5,'Price Inputs'!$C$5:$J$5,0))))</f>
        <v/>
      </c>
      <c r="J24" s="463" t="str">
        <f t="shared" si="1"/>
        <v/>
      </c>
      <c r="K24" s="464" t="str">
        <f t="shared" si="5"/>
        <v/>
      </c>
      <c r="T24" s="342"/>
      <c r="U24" s="604"/>
      <c r="V24" s="338">
        <f t="shared" si="3"/>
        <v>0</v>
      </c>
      <c r="W24" s="338">
        <f t="shared" si="3"/>
        <v>0</v>
      </c>
      <c r="X24" s="338">
        <f t="shared" si="4"/>
        <v>0</v>
      </c>
      <c r="Y24" s="338">
        <f t="shared" si="4"/>
        <v>0</v>
      </c>
      <c r="Z24" s="338">
        <f t="shared" si="4"/>
        <v>0</v>
      </c>
      <c r="AA24" s="23"/>
      <c r="AB24" s="23"/>
      <c r="AC24" s="23"/>
    </row>
    <row r="25" spans="1:41" s="29" customFormat="1" ht="17.25" customHeight="1" x14ac:dyDescent="0.2">
      <c r="A25" s="329">
        <f>IF(B25&lt;='Policy Portfolio'!$A$17,'Current Portfolio'!$B25,$B25)</f>
        <v>15</v>
      </c>
      <c r="B25" s="321">
        <v>15</v>
      </c>
      <c r="C25" s="461" t="str">
        <f>IF(ISERROR(VLOOKUP(B25,'Portfolio Bucket'!$A$2:$C$69,2,FALSE)),"",VLOOKUP(B25,'Portfolio Bucket'!$A$2:$C$69,3,FALSE))</f>
        <v/>
      </c>
      <c r="D25" s="30" t="str">
        <f>IF(C25="","",VLOOKUP(C25,'ETF List'!$C$1:$J$200,3,0))</f>
        <v/>
      </c>
      <c r="E25" s="30" t="str">
        <f>IF(C25="","",IF(ISERROR(VLOOKUP(C25,'Policy Portfolio'!$H$21:$H$29,1,FALSE)),"Tactical","Policy"))</f>
        <v/>
      </c>
      <c r="F25" s="30" t="str">
        <f>IF(C25="","",VLOOKUP(C25,'ETF List'!$C$1:$J$200,4,0))</f>
        <v/>
      </c>
      <c r="G25" s="30" t="str">
        <f>IF(C25="","",VLOOKUP(C25,'ETF List'!$C$1:$J$200,5,0))</f>
        <v/>
      </c>
      <c r="H25" s="462" t="str">
        <f>IF(C25="","",INDEX('Portfolio Bucket'!$C$2:$I$69,MATCH(C25,'Portfolio Bucket'!$C$2:$C$69,0),MATCH($E$5,'Portfolio Bucket'!$C$1:$I$1,0)))</f>
        <v/>
      </c>
      <c r="I25" s="458" t="str">
        <f>IF(C25="","",IF(INDEX('Price Inputs'!$C$5:$J$49,MATCH(C25,'Price Inputs'!$C$5:$C$49,0),MATCH('Current Portfolio'!$E$5,'Price Inputs'!$C$5:$J$5,0))=0,VLOOKUP(C25,Trades!$C$32:$O$59,8,FALSE),INDEX('Price Inputs'!$C$5:$J$49,MATCH(C25,'Price Inputs'!$C$5:$C$49,0),MATCH('Current Portfolio'!$E$5,'Price Inputs'!$C$5:$J$5,0))))</f>
        <v/>
      </c>
      <c r="J25" s="463" t="str">
        <f t="shared" si="1"/>
        <v/>
      </c>
      <c r="K25" s="464" t="str">
        <f t="shared" si="5"/>
        <v/>
      </c>
      <c r="T25" s="342"/>
      <c r="U25" s="604"/>
      <c r="V25" s="338">
        <f t="shared" si="3"/>
        <v>0</v>
      </c>
      <c r="W25" s="338">
        <f t="shared" si="3"/>
        <v>0</v>
      </c>
      <c r="X25" s="338">
        <f t="shared" si="4"/>
        <v>0</v>
      </c>
      <c r="Y25" s="338">
        <f t="shared" si="4"/>
        <v>0</v>
      </c>
      <c r="Z25" s="338">
        <f t="shared" si="4"/>
        <v>0</v>
      </c>
      <c r="AA25" s="23"/>
      <c r="AB25" s="23"/>
      <c r="AC25" s="23"/>
    </row>
    <row r="26" spans="1:41" ht="17.25" customHeight="1" x14ac:dyDescent="0.2">
      <c r="A26" s="329">
        <f>IF(B26&lt;='Policy Portfolio'!$A$17,'Current Portfolio'!$B26,$B26)</f>
        <v>16</v>
      </c>
      <c r="B26" s="321">
        <v>16</v>
      </c>
      <c r="C26" s="461" t="str">
        <f>IF(ISERROR(VLOOKUP(B26,'Portfolio Bucket'!$A$2:$C$69,2,FALSE)),"",VLOOKUP(B26,'Portfolio Bucket'!$A$2:$C$69,3,FALSE))</f>
        <v/>
      </c>
      <c r="D26" s="30" t="str">
        <f>IF(C26="","",VLOOKUP(C26,'ETF List'!$C$1:$J$200,3,0))</f>
        <v/>
      </c>
      <c r="E26" s="30" t="str">
        <f>IF(C26="","",IF(ISERROR(VLOOKUP(C26,'Policy Portfolio'!$H$21:$H$29,1,FALSE)),"Tactical","Policy"))</f>
        <v/>
      </c>
      <c r="F26" s="30" t="str">
        <f>IF(C26="","",VLOOKUP(C26,'ETF List'!$C$1:$J$200,4,0))</f>
        <v/>
      </c>
      <c r="G26" s="30" t="str">
        <f>IF(C26="","",VLOOKUP(C26,'ETF List'!$C$1:$J$200,5,0))</f>
        <v/>
      </c>
      <c r="H26" s="462" t="str">
        <f>IF(C26="","",INDEX('Portfolio Bucket'!$C$2:$I$69,MATCH(C26,'Portfolio Bucket'!$C$2:$C$69,0),MATCH($E$5,'Portfolio Bucket'!$C$1:$I$1,0)))</f>
        <v/>
      </c>
      <c r="I26" s="458" t="str">
        <f>IF(C26="","",IF(INDEX('Price Inputs'!$C$5:$J$49,MATCH(C26,'Price Inputs'!$C$5:$C$49,0),MATCH('Current Portfolio'!$E$5,'Price Inputs'!$C$5:$J$5,0))=0,VLOOKUP(C26,Trades!$C$32:$O$59,8,FALSE),INDEX('Price Inputs'!$C$5:$J$49,MATCH(C26,'Price Inputs'!$C$5:$C$49,0),MATCH('Current Portfolio'!$E$5,'Price Inputs'!$C$5:$J$5,0))))</f>
        <v/>
      </c>
      <c r="J26" s="463" t="str">
        <f t="shared" si="1"/>
        <v/>
      </c>
      <c r="K26" s="464" t="str">
        <f t="shared" si="5"/>
        <v/>
      </c>
      <c r="L26" s="23"/>
      <c r="M26" s="23"/>
      <c r="N26" s="23"/>
      <c r="O26" s="23"/>
      <c r="P26" s="23"/>
      <c r="Q26" s="23"/>
      <c r="R26" s="23"/>
      <c r="S26" s="23"/>
      <c r="T26" s="342"/>
      <c r="V26" s="338">
        <f t="shared" si="3"/>
        <v>0</v>
      </c>
      <c r="W26" s="338">
        <f t="shared" si="3"/>
        <v>0</v>
      </c>
      <c r="X26" s="338">
        <f t="shared" si="4"/>
        <v>0</v>
      </c>
      <c r="Y26" s="338">
        <f t="shared" si="4"/>
        <v>0</v>
      </c>
      <c r="Z26" s="338">
        <f t="shared" si="4"/>
        <v>0</v>
      </c>
    </row>
    <row r="27" spans="1:41" ht="17.25" customHeight="1" x14ac:dyDescent="0.2">
      <c r="A27" s="329">
        <f>IF(B27&lt;='Policy Portfolio'!$A$17,'Current Portfolio'!$B27,$B27)</f>
        <v>17</v>
      </c>
      <c r="B27" s="321">
        <v>17</v>
      </c>
      <c r="C27" s="461" t="str">
        <f>IF(ISERROR(VLOOKUP(B27,'Portfolio Bucket'!$A$2:$C$69,2,FALSE)),"",VLOOKUP(B27,'Portfolio Bucket'!$A$2:$C$69,3,FALSE))</f>
        <v/>
      </c>
      <c r="D27" s="30" t="str">
        <f>IF(C27="","",VLOOKUP(C27,'ETF List'!$C$1:$J$200,3,0))</f>
        <v/>
      </c>
      <c r="E27" s="30" t="str">
        <f>IF(C27="","",IF(ISERROR(VLOOKUP(C27,'Policy Portfolio'!$H$21:$H$29,1,FALSE)),"Tactical","Policy"))</f>
        <v/>
      </c>
      <c r="F27" s="30" t="str">
        <f>IF(C27="","",VLOOKUP(C27,'ETF List'!$C$1:$J$200,4,0))</f>
        <v/>
      </c>
      <c r="G27" s="30" t="str">
        <f>IF(C27="","",VLOOKUP(C27,'ETF List'!$C$1:$J$200,5,0))</f>
        <v/>
      </c>
      <c r="H27" s="462" t="str">
        <f>IF(C27="","",INDEX('Portfolio Bucket'!$C$2:$I$69,MATCH(C27,'Portfolio Bucket'!$C$2:$C$69,0),MATCH($E$5,'Portfolio Bucket'!$C$1:$I$1,0)))</f>
        <v/>
      </c>
      <c r="I27" s="458" t="str">
        <f>IF(C27="","",IF(INDEX('Price Inputs'!$C$5:$J$49,MATCH(C27,'Price Inputs'!$C$5:$C$49,0),MATCH('Current Portfolio'!$E$5,'Price Inputs'!$C$5:$J$5,0))=0,VLOOKUP(C27,Trades!$C$32:$O$59,8,FALSE),INDEX('Price Inputs'!$C$5:$J$49,MATCH(C27,'Price Inputs'!$C$5:$C$49,0),MATCH('Current Portfolio'!$E$5,'Price Inputs'!$C$5:$J$5,0))))</f>
        <v/>
      </c>
      <c r="J27" s="463" t="str">
        <f t="shared" si="1"/>
        <v/>
      </c>
      <c r="K27" s="464" t="str">
        <f>IF(ISNUMBER(J27),J27/SUM(Mrkt_Value,$J$10),"")</f>
        <v/>
      </c>
      <c r="L27" s="23"/>
      <c r="M27" s="23"/>
      <c r="N27" s="23"/>
      <c r="O27" s="23"/>
      <c r="P27" s="23"/>
      <c r="Q27" s="23"/>
      <c r="R27" s="23"/>
      <c r="S27" s="23"/>
      <c r="T27" s="342"/>
      <c r="V27" s="338">
        <f t="shared" si="3"/>
        <v>0</v>
      </c>
      <c r="W27" s="338">
        <f t="shared" si="3"/>
        <v>0</v>
      </c>
      <c r="X27" s="338">
        <f t="shared" si="4"/>
        <v>0</v>
      </c>
      <c r="Y27" s="338">
        <f t="shared" si="4"/>
        <v>0</v>
      </c>
      <c r="Z27" s="338">
        <f t="shared" si="4"/>
        <v>0</v>
      </c>
    </row>
    <row r="28" spans="1:41" ht="17.25" customHeight="1" x14ac:dyDescent="0.2">
      <c r="A28" s="329">
        <f>IF(B28&lt;='Policy Portfolio'!$A$17,'Current Portfolio'!$B28,$B28)</f>
        <v>18</v>
      </c>
      <c r="B28" s="321">
        <v>18</v>
      </c>
      <c r="C28" s="461" t="str">
        <f>IF(ISERROR(VLOOKUP(B28,'Portfolio Bucket'!$A$2:$C$69,2,FALSE)),"",VLOOKUP(B28,'Portfolio Bucket'!$A$2:$C$69,3,FALSE))</f>
        <v/>
      </c>
      <c r="D28" s="30" t="str">
        <f>IF(C28="","",VLOOKUP(C28,'ETF List'!$C$1:$J$200,3,0))</f>
        <v/>
      </c>
      <c r="E28" s="30" t="str">
        <f>IF(C28="","",IF(ISERROR(VLOOKUP(C28,'Policy Portfolio'!$H$21:$H$29,1,FALSE)),"Tactical","Policy"))</f>
        <v/>
      </c>
      <c r="F28" s="30" t="str">
        <f>IF(C28="","",VLOOKUP(C28,'ETF List'!$C$1:$J$200,4,0))</f>
        <v/>
      </c>
      <c r="G28" s="30" t="str">
        <f>IF(C28="","",VLOOKUP(C28,'ETF List'!$C$1:$J$200,5,0))</f>
        <v/>
      </c>
      <c r="H28" s="462" t="str">
        <f>IF(C28="","",INDEX('Portfolio Bucket'!$C$2:$I$69,MATCH(C28,'Portfolio Bucket'!$C$2:$C$69,0),MATCH($E$5,'Portfolio Bucket'!$C$1:$I$1,0)))</f>
        <v/>
      </c>
      <c r="I28" s="458" t="str">
        <f>IF(C28="","",IF(INDEX('Price Inputs'!$C$5:$J$49,MATCH(C28,'Price Inputs'!$C$5:$C$49,0),MATCH('Current Portfolio'!$E$5,'Price Inputs'!$C$5:$J$5,0))=0,VLOOKUP(C28,Trades!$C$32:$O$59,8,FALSE),INDEX('Price Inputs'!$C$5:$J$49,MATCH(C28,'Price Inputs'!$C$5:$C$49,0),MATCH('Current Portfolio'!$E$5,'Price Inputs'!$C$5:$J$5,0))))</f>
        <v/>
      </c>
      <c r="J28" s="463" t="str">
        <f t="shared" si="1"/>
        <v/>
      </c>
      <c r="K28" s="464" t="str">
        <f t="shared" si="5"/>
        <v/>
      </c>
      <c r="L28" s="23"/>
      <c r="M28" s="23"/>
      <c r="N28" s="23"/>
      <c r="O28" s="23"/>
      <c r="P28" s="23"/>
      <c r="Q28" s="23"/>
      <c r="R28" s="23"/>
      <c r="S28" s="23"/>
      <c r="T28" s="342"/>
      <c r="V28" s="338">
        <f t="shared" si="3"/>
        <v>0</v>
      </c>
      <c r="W28" s="338">
        <f t="shared" si="3"/>
        <v>0</v>
      </c>
      <c r="X28" s="338">
        <f t="shared" si="4"/>
        <v>0</v>
      </c>
      <c r="Y28" s="338">
        <f t="shared" si="4"/>
        <v>0</v>
      </c>
      <c r="Z28" s="338">
        <f t="shared" si="4"/>
        <v>0</v>
      </c>
    </row>
    <row r="29" spans="1:41" ht="15" x14ac:dyDescent="0.2">
      <c r="A29" s="329">
        <f>IF(B29&lt;='Policy Portfolio'!$A$17,'Current Portfolio'!$B29,$B29)</f>
        <v>19</v>
      </c>
      <c r="B29" s="321">
        <v>19</v>
      </c>
      <c r="C29" s="461" t="str">
        <f>IF(ISERROR(VLOOKUP(B29,'Portfolio Bucket'!$A$2:$C$69,2,FALSE)),"",VLOOKUP(B29,'Portfolio Bucket'!$A$2:$C$69,3,FALSE))</f>
        <v/>
      </c>
      <c r="D29" s="30" t="str">
        <f>IF(C29="","",VLOOKUP(C29,'ETF List'!$C$1:$J$200,3,0))</f>
        <v/>
      </c>
      <c r="E29" s="30" t="str">
        <f>IF(C29="","",IF(ISERROR(VLOOKUP(C29,'Policy Portfolio'!$H$21:$H$29,1,FALSE)),"Tactical","Policy"))</f>
        <v/>
      </c>
      <c r="F29" s="30" t="str">
        <f>IF(C29="","",VLOOKUP(C29,'ETF List'!$C$1:$J$200,4,0))</f>
        <v/>
      </c>
      <c r="G29" s="30" t="str">
        <f>IF(C29="","",VLOOKUP(C29,'ETF List'!$C$1:$J$200,5,0))</f>
        <v/>
      </c>
      <c r="H29" s="462" t="str">
        <f>IF(C29="","",INDEX('Portfolio Bucket'!$C$2:$I$69,MATCH(C29,'Portfolio Bucket'!$C$2:$C$69,0),MATCH($E$5,'Portfolio Bucket'!$C$1:$I$1,0)))</f>
        <v/>
      </c>
      <c r="I29" s="458" t="str">
        <f>IF(C29="","",IF(INDEX('Price Inputs'!$C$5:$J$49,MATCH(C29,'Price Inputs'!$C$5:$C$49,0),MATCH('Current Portfolio'!$E$5,'Price Inputs'!$C$5:$J$5,0))=0,VLOOKUP(C29,Trades!$C$32:$O$59,8,FALSE),INDEX('Price Inputs'!$C$5:$J$49,MATCH(C29,'Price Inputs'!$C$5:$C$49,0),MATCH('Current Portfolio'!$E$5,'Price Inputs'!$C$5:$J$5,0))))</f>
        <v/>
      </c>
      <c r="J29" s="463" t="str">
        <f t="shared" si="1"/>
        <v/>
      </c>
      <c r="K29" s="464" t="str">
        <f t="shared" si="5"/>
        <v/>
      </c>
      <c r="L29" s="23"/>
      <c r="M29" s="23"/>
      <c r="N29" s="23"/>
      <c r="O29" s="23"/>
      <c r="P29" s="23"/>
      <c r="Q29" s="23"/>
      <c r="R29" s="23"/>
      <c r="S29" s="23"/>
      <c r="T29" s="342"/>
      <c r="V29" s="338">
        <f t="shared" si="3"/>
        <v>0</v>
      </c>
      <c r="W29" s="338">
        <f t="shared" si="3"/>
        <v>0</v>
      </c>
      <c r="X29" s="338">
        <f t="shared" si="4"/>
        <v>0</v>
      </c>
      <c r="Y29" s="338">
        <f t="shared" si="4"/>
        <v>0</v>
      </c>
      <c r="Z29" s="338">
        <f t="shared" si="4"/>
        <v>0</v>
      </c>
      <c r="AD29" s="23"/>
      <c r="AE29" s="23"/>
      <c r="AF29" s="23"/>
      <c r="AG29" s="23"/>
      <c r="AH29" s="23"/>
      <c r="AI29" s="23"/>
      <c r="AJ29" s="23"/>
      <c r="AK29" s="23"/>
      <c r="AL29" s="23"/>
      <c r="AM29" s="23"/>
      <c r="AN29" s="23"/>
      <c r="AO29" s="23"/>
    </row>
    <row r="30" spans="1:41" ht="17.25" customHeight="1" x14ac:dyDescent="0.2">
      <c r="A30" s="329">
        <f>IF(B30&lt;='Policy Portfolio'!$A$17,'Current Portfolio'!$B30,$B30)</f>
        <v>20</v>
      </c>
      <c r="B30" s="321">
        <v>20</v>
      </c>
      <c r="C30" s="461" t="str">
        <f>IF(ISERROR(VLOOKUP(B30,'Portfolio Bucket'!$A$2:$C$69,2,FALSE)),"",VLOOKUP(B30,'Portfolio Bucket'!$A$2:$C$69,3,FALSE))</f>
        <v/>
      </c>
      <c r="D30" s="30" t="str">
        <f>IF(C30="","",VLOOKUP(C30,'ETF List'!$C$1:$J$200,3,0))</f>
        <v/>
      </c>
      <c r="E30" s="30" t="str">
        <f>IF(C30="","",IF(ISERROR(VLOOKUP(C30,'Policy Portfolio'!$H$21:$H$29,1,FALSE)),"Tactical","Policy"))</f>
        <v/>
      </c>
      <c r="F30" s="30" t="str">
        <f>IF(C30="","",VLOOKUP(C30,'ETF List'!$C$1:$J$200,4,0))</f>
        <v/>
      </c>
      <c r="G30" s="30" t="str">
        <f>IF(C30="","",VLOOKUP(C30,'ETF List'!$C$1:$J$200,5,0))</f>
        <v/>
      </c>
      <c r="H30" s="462" t="str">
        <f>IF(C30="","",INDEX('Portfolio Bucket'!$C$2:$I$69,MATCH(C30,'Portfolio Bucket'!$C$2:$C$69,0),MATCH($E$5,'Portfolio Bucket'!$C$1:$I$1,0)))</f>
        <v/>
      </c>
      <c r="I30" s="458" t="str">
        <f>IF(C30="","",IF(INDEX('Price Inputs'!$C$5:$J$49,MATCH(C30,'Price Inputs'!$C$5:$C$49,0),MATCH('Current Portfolio'!$E$5,'Price Inputs'!$C$5:$J$5,0))=0,VLOOKUP(C30,Trades!$C$32:$O$59,8,FALSE),INDEX('Price Inputs'!$C$5:$J$49,MATCH(C30,'Price Inputs'!$C$5:$C$49,0),MATCH('Current Portfolio'!$E$5,'Price Inputs'!$C$5:$J$5,0))))</f>
        <v/>
      </c>
      <c r="J30" s="463" t="str">
        <f t="shared" si="1"/>
        <v/>
      </c>
      <c r="K30" s="464" t="str">
        <f t="shared" si="5"/>
        <v/>
      </c>
      <c r="L30" s="23"/>
      <c r="M30" s="23"/>
      <c r="N30" s="23"/>
      <c r="O30" s="23"/>
      <c r="P30" s="23"/>
      <c r="Q30" s="23"/>
      <c r="R30" s="23"/>
      <c r="S30" s="23"/>
      <c r="T30" s="342"/>
      <c r="V30" s="338">
        <f t="shared" si="3"/>
        <v>0</v>
      </c>
      <c r="W30" s="338">
        <f t="shared" si="3"/>
        <v>0</v>
      </c>
      <c r="X30" s="338">
        <f t="shared" si="4"/>
        <v>0</v>
      </c>
      <c r="Y30" s="338">
        <f t="shared" si="4"/>
        <v>0</v>
      </c>
      <c r="Z30" s="338">
        <f t="shared" si="4"/>
        <v>0</v>
      </c>
      <c r="AD30" s="23"/>
      <c r="AE30" s="23"/>
      <c r="AF30" s="23"/>
      <c r="AG30" s="23"/>
      <c r="AH30" s="23"/>
      <c r="AI30" s="23"/>
      <c r="AJ30" s="23"/>
      <c r="AK30" s="23"/>
      <c r="AL30" s="23"/>
      <c r="AM30" s="23"/>
      <c r="AN30" s="23"/>
      <c r="AO30" s="23"/>
    </row>
    <row r="31" spans="1:41" ht="17.25" customHeight="1" x14ac:dyDescent="0.2">
      <c r="A31" s="329">
        <f>IF(B31&lt;='Policy Portfolio'!$A$17,'Current Portfolio'!$B31,$B31)</f>
        <v>21</v>
      </c>
      <c r="B31" s="321">
        <v>21</v>
      </c>
      <c r="C31" s="461" t="str">
        <f>IF(ISERROR(VLOOKUP(B31,'Portfolio Bucket'!$A$2:$C$69,2,FALSE)),"",VLOOKUP(B31,'Portfolio Bucket'!$A$2:$C$69,3,FALSE))</f>
        <v/>
      </c>
      <c r="D31" s="30" t="str">
        <f>IF(C31="","",VLOOKUP(C31,'ETF List'!$C$1:$J$200,3,0))</f>
        <v/>
      </c>
      <c r="E31" s="30" t="str">
        <f>IF(C31="","",IF(ISERROR(VLOOKUP(C31,'Policy Portfolio'!$H$21:$H$29,1,FALSE)),"Tactical","Policy"))</f>
        <v/>
      </c>
      <c r="F31" s="30" t="str">
        <f>IF(C31="","",VLOOKUP(C31,'ETF List'!$C$1:$J$200,4,0))</f>
        <v/>
      </c>
      <c r="G31" s="30" t="str">
        <f>IF(C31="","",VLOOKUP(C31,'ETF List'!$C$1:$J$200,5,0))</f>
        <v/>
      </c>
      <c r="H31" s="462" t="str">
        <f>IF(C31="","",INDEX('Portfolio Bucket'!$C$2:$I$69,MATCH(C31,'Portfolio Bucket'!$C$2:$C$69,0),MATCH($E$5,'Portfolio Bucket'!$C$1:$I$1,0)))</f>
        <v/>
      </c>
      <c r="I31" s="458" t="str">
        <f>IF(C31="","",IF(INDEX('Price Inputs'!$C$5:$J$49,MATCH(C31,'Price Inputs'!$C$5:$C$49,0),MATCH('Current Portfolio'!$E$5,'Price Inputs'!$C$5:$J$5,0))=0,VLOOKUP(C31,Trades!$C$32:$O$59,8,FALSE),INDEX('Price Inputs'!$C$5:$J$49,MATCH(C31,'Price Inputs'!$C$5:$C$49,0),MATCH('Current Portfolio'!$E$5,'Price Inputs'!$C$5:$J$5,0))))</f>
        <v/>
      </c>
      <c r="J31" s="463" t="str">
        <f t="shared" si="1"/>
        <v/>
      </c>
      <c r="K31" s="464" t="str">
        <f t="shared" si="5"/>
        <v/>
      </c>
      <c r="L31" s="23"/>
      <c r="M31" s="23"/>
      <c r="N31" s="23"/>
      <c r="O31" s="23"/>
      <c r="P31" s="23"/>
      <c r="Q31" s="23"/>
      <c r="R31" s="23"/>
      <c r="S31" s="23"/>
      <c r="T31" s="342"/>
      <c r="V31" s="338">
        <f t="shared" si="3"/>
        <v>0</v>
      </c>
      <c r="W31" s="338">
        <f t="shared" si="3"/>
        <v>0</v>
      </c>
      <c r="X31" s="338">
        <f t="shared" si="4"/>
        <v>0</v>
      </c>
      <c r="Y31" s="338">
        <f t="shared" si="4"/>
        <v>0</v>
      </c>
      <c r="Z31" s="338">
        <f t="shared" si="4"/>
        <v>0</v>
      </c>
      <c r="AD31" s="23"/>
      <c r="AE31" s="23"/>
      <c r="AF31" s="23"/>
      <c r="AG31" s="23"/>
      <c r="AH31" s="23"/>
      <c r="AI31" s="23"/>
      <c r="AJ31" s="23"/>
      <c r="AK31" s="23"/>
      <c r="AL31" s="23"/>
      <c r="AM31" s="23"/>
      <c r="AN31" s="23"/>
      <c r="AO31" s="23"/>
    </row>
    <row r="32" spans="1:41" ht="17.25" customHeight="1" x14ac:dyDescent="0.2">
      <c r="A32" s="329">
        <f>IF(B32&lt;='Policy Portfolio'!$A$17,'Current Portfolio'!$B32,$B32)</f>
        <v>22</v>
      </c>
      <c r="B32" s="321">
        <v>22</v>
      </c>
      <c r="C32" s="461" t="str">
        <f>IF(ISERROR(VLOOKUP(B32,'Portfolio Bucket'!$A$2:$C$69,2,FALSE)),"",VLOOKUP(B32,'Portfolio Bucket'!$A$2:$C$69,3,FALSE))</f>
        <v/>
      </c>
      <c r="D32" s="30" t="str">
        <f>IF(C32="","",VLOOKUP(C32,'ETF List'!$C$1:$J$200,3,0))</f>
        <v/>
      </c>
      <c r="E32" s="30" t="str">
        <f>IF(C32="","",IF(ISERROR(VLOOKUP(C32,'Policy Portfolio'!$H$21:$H$29,1,FALSE)),"Tactical","Policy"))</f>
        <v/>
      </c>
      <c r="F32" s="30" t="str">
        <f>IF(C32="","",VLOOKUP(C32,'ETF List'!$C$1:$J$200,4,0))</f>
        <v/>
      </c>
      <c r="G32" s="30" t="str">
        <f>IF(C32="","",VLOOKUP(C32,'ETF List'!$C$1:$J$200,5,0))</f>
        <v/>
      </c>
      <c r="H32" s="462" t="str">
        <f>IF(C32="","",INDEX('Portfolio Bucket'!$C$2:$I$69,MATCH(C32,'Portfolio Bucket'!$C$2:$C$69,0),MATCH($E$5,'Portfolio Bucket'!$C$1:$I$1,0)))</f>
        <v/>
      </c>
      <c r="I32" s="458" t="str">
        <f>IF(C32="","",IF(INDEX('Price Inputs'!$C$5:$J$49,MATCH(C32,'Price Inputs'!$C$5:$C$49,0),MATCH('Current Portfolio'!$E$5,'Price Inputs'!$C$5:$J$5,0))=0,VLOOKUP(C32,Trades!$C$32:$O$59,8,FALSE),INDEX('Price Inputs'!$C$5:$J$49,MATCH(C32,'Price Inputs'!$C$5:$C$49,0),MATCH('Current Portfolio'!$E$5,'Price Inputs'!$C$5:$J$5,0))))</f>
        <v/>
      </c>
      <c r="J32" s="463" t="str">
        <f t="shared" si="1"/>
        <v/>
      </c>
      <c r="K32" s="464" t="str">
        <f t="shared" si="5"/>
        <v/>
      </c>
      <c r="L32" s="23"/>
      <c r="M32" s="23"/>
      <c r="N32" s="23"/>
      <c r="O32" s="23"/>
      <c r="P32" s="23"/>
      <c r="Q32" s="23"/>
      <c r="R32" s="23"/>
      <c r="S32" s="23"/>
      <c r="T32" s="342"/>
      <c r="V32" s="338">
        <f t="shared" si="3"/>
        <v>0</v>
      </c>
      <c r="W32" s="338">
        <f t="shared" si="3"/>
        <v>0</v>
      </c>
      <c r="X32" s="338">
        <f t="shared" si="4"/>
        <v>0</v>
      </c>
      <c r="Y32" s="338">
        <f t="shared" si="4"/>
        <v>0</v>
      </c>
      <c r="Z32" s="338">
        <f t="shared" si="4"/>
        <v>0</v>
      </c>
      <c r="AD32" s="23"/>
      <c r="AE32" s="23"/>
      <c r="AF32" s="23"/>
      <c r="AG32" s="23"/>
      <c r="AH32" s="23"/>
      <c r="AI32" s="23"/>
      <c r="AJ32" s="23"/>
      <c r="AK32" s="23"/>
      <c r="AL32" s="23"/>
      <c r="AM32" s="23"/>
      <c r="AN32" s="23"/>
      <c r="AO32" s="23"/>
    </row>
    <row r="33" spans="1:41" ht="17.25" customHeight="1" x14ac:dyDescent="0.2">
      <c r="A33" s="329">
        <f>IF(B33&lt;='Policy Portfolio'!$A$17,'Current Portfolio'!$B33,$B33)</f>
        <v>23</v>
      </c>
      <c r="B33" s="321">
        <v>23</v>
      </c>
      <c r="C33" s="461" t="str">
        <f>IF(ISERROR(VLOOKUP(B33,'Portfolio Bucket'!$A$2:$C$69,2,FALSE)),"",VLOOKUP(B33,'Portfolio Bucket'!$A$2:$C$69,3,FALSE))</f>
        <v/>
      </c>
      <c r="D33" s="30" t="str">
        <f>IF(C33="","",VLOOKUP(C33,'ETF List'!$C$1:$J$200,3,0))</f>
        <v/>
      </c>
      <c r="E33" s="30" t="str">
        <f>IF(C33="","",IF(ISERROR(VLOOKUP(C33,'Policy Portfolio'!$H$21:$H$29,1,FALSE)),"Tactical","Policy"))</f>
        <v/>
      </c>
      <c r="F33" s="30" t="str">
        <f>IF(C33="","",VLOOKUP(C33,'ETF List'!$C$1:$J$200,4,0))</f>
        <v/>
      </c>
      <c r="G33" s="30" t="str">
        <f>IF(C33="","",VLOOKUP(C33,'ETF List'!$C$1:$J$200,5,0))</f>
        <v/>
      </c>
      <c r="H33" s="462" t="str">
        <f>IF(C33="","",INDEX('Portfolio Bucket'!$C$2:$I$69,MATCH(C33,'Portfolio Bucket'!$C$2:$C$69,0),MATCH($E$5,'Portfolio Bucket'!$C$1:$I$1,0)))</f>
        <v/>
      </c>
      <c r="I33" s="458" t="str">
        <f>IF(C33="","",IF(INDEX('Price Inputs'!$C$5:$J$49,MATCH(C33,'Price Inputs'!$C$5:$C$49,0),MATCH('Current Portfolio'!$E$5,'Price Inputs'!$C$5:$J$5,0))=0,VLOOKUP(C33,Trades!$C$32:$O$59,8,FALSE),INDEX('Price Inputs'!$C$5:$J$49,MATCH(C33,'Price Inputs'!$C$5:$C$49,0),MATCH('Current Portfolio'!$E$5,'Price Inputs'!$C$5:$J$5,0))))</f>
        <v/>
      </c>
      <c r="J33" s="463" t="str">
        <f t="shared" si="1"/>
        <v/>
      </c>
      <c r="K33" s="464" t="str">
        <f t="shared" si="5"/>
        <v/>
      </c>
      <c r="L33" s="23"/>
      <c r="M33" s="23"/>
      <c r="N33" s="23"/>
      <c r="O33" s="23"/>
      <c r="P33" s="23"/>
      <c r="Q33" s="23"/>
      <c r="R33" s="23"/>
      <c r="S33" s="23"/>
      <c r="T33" s="342"/>
      <c r="V33" s="338">
        <f t="shared" si="3"/>
        <v>0</v>
      </c>
      <c r="W33" s="338">
        <f t="shared" si="3"/>
        <v>0</v>
      </c>
      <c r="X33" s="338">
        <f t="shared" si="4"/>
        <v>0</v>
      </c>
      <c r="Y33" s="338">
        <f t="shared" si="4"/>
        <v>0</v>
      </c>
      <c r="Z33" s="338">
        <f t="shared" si="4"/>
        <v>0</v>
      </c>
      <c r="AD33" s="23"/>
      <c r="AE33" s="23"/>
      <c r="AF33" s="23"/>
      <c r="AG33" s="23"/>
      <c r="AH33" s="23"/>
      <c r="AI33" s="23"/>
      <c r="AJ33" s="23"/>
      <c r="AK33" s="23"/>
      <c r="AL33" s="23"/>
      <c r="AM33" s="23"/>
      <c r="AN33" s="23"/>
      <c r="AO33" s="23"/>
    </row>
    <row r="34" spans="1:41" ht="17.25" customHeight="1" x14ac:dyDescent="0.2">
      <c r="A34" s="329">
        <f>IF(B34&lt;='Policy Portfolio'!$A$17,'Current Portfolio'!$B34,$B34)</f>
        <v>24</v>
      </c>
      <c r="B34" s="321">
        <v>24</v>
      </c>
      <c r="C34" s="461" t="str">
        <f>IF(ISERROR(VLOOKUP(B34,'Portfolio Bucket'!$A$2:$C$69,2,FALSE)),"",VLOOKUP(B34,'Portfolio Bucket'!$A$2:$C$69,3,FALSE))</f>
        <v/>
      </c>
      <c r="D34" s="30" t="str">
        <f>IF(C34="","",VLOOKUP(C34,'ETF List'!$C$1:$J$200,3,0))</f>
        <v/>
      </c>
      <c r="E34" s="30" t="str">
        <f>IF(C34="","",IF(ISERROR(VLOOKUP(C34,'Policy Portfolio'!$H$21:$H$29,1,FALSE)),"Tactical","Policy"))</f>
        <v/>
      </c>
      <c r="F34" s="30" t="str">
        <f>IF(C34="","",VLOOKUP(C34,'ETF List'!$C$1:$J$200,4,0))</f>
        <v/>
      </c>
      <c r="G34" s="30" t="str">
        <f>IF(C34="","",VLOOKUP(C34,'ETF List'!$C$1:$J$200,5,0))</f>
        <v/>
      </c>
      <c r="H34" s="462" t="str">
        <f>IF(C34="","",INDEX('Portfolio Bucket'!$C$2:$I$69,MATCH(C34,'Portfolio Bucket'!$C$2:$C$69,0),MATCH($E$5,'Portfolio Bucket'!$C$1:$I$1,0)))</f>
        <v/>
      </c>
      <c r="I34" s="458" t="str">
        <f>IF(C34="","",IF(INDEX('Price Inputs'!$C$5:$J$49,MATCH(C34,'Price Inputs'!$C$5:$C$49,0),MATCH('Current Portfolio'!$E$5,'Price Inputs'!$C$5:$J$5,0))=0,VLOOKUP(C34,Trades!$C$32:$O$59,8,FALSE),INDEX('Price Inputs'!$C$5:$J$49,MATCH(C34,'Price Inputs'!$C$5:$C$49,0),MATCH('Current Portfolio'!$E$5,'Price Inputs'!$C$5:$J$5,0))))</f>
        <v/>
      </c>
      <c r="J34" s="463" t="str">
        <f t="shared" si="1"/>
        <v/>
      </c>
      <c r="K34" s="464" t="str">
        <f t="shared" si="5"/>
        <v/>
      </c>
      <c r="L34" s="23"/>
      <c r="M34" s="23"/>
      <c r="N34" s="23"/>
      <c r="O34" s="23"/>
      <c r="P34" s="23"/>
      <c r="Q34" s="23"/>
      <c r="R34" s="23"/>
      <c r="S34" s="23"/>
      <c r="T34" s="342"/>
      <c r="V34" s="338">
        <f t="shared" si="3"/>
        <v>0</v>
      </c>
      <c r="W34" s="338">
        <f t="shared" si="3"/>
        <v>0</v>
      </c>
      <c r="X34" s="338">
        <f t="shared" si="4"/>
        <v>0</v>
      </c>
      <c r="Y34" s="338">
        <f t="shared" si="4"/>
        <v>0</v>
      </c>
      <c r="Z34" s="338">
        <f t="shared" si="4"/>
        <v>0</v>
      </c>
      <c r="AD34" s="23"/>
      <c r="AE34" s="23"/>
      <c r="AF34" s="23"/>
      <c r="AG34" s="23"/>
      <c r="AH34" s="23"/>
      <c r="AI34" s="23"/>
      <c r="AJ34" s="23"/>
      <c r="AK34" s="23"/>
      <c r="AL34" s="23"/>
      <c r="AM34" s="23"/>
      <c r="AN34" s="23"/>
      <c r="AO34" s="23"/>
    </row>
    <row r="35" spans="1:41" ht="17.25" customHeight="1" x14ac:dyDescent="0.2">
      <c r="A35" s="329">
        <f>IF(B35&lt;='Policy Portfolio'!$A$17,'Current Portfolio'!$B35,$B35)</f>
        <v>25</v>
      </c>
      <c r="B35" s="321">
        <v>25</v>
      </c>
      <c r="C35" s="461" t="str">
        <f>IF(ISERROR(VLOOKUP(B35,'Portfolio Bucket'!$A$2:$C$69,2,FALSE)),"",VLOOKUP(B35,'Portfolio Bucket'!$A$2:$C$69,3,FALSE))</f>
        <v/>
      </c>
      <c r="D35" s="30" t="str">
        <f>IF(C35="","",VLOOKUP(C35,'ETF List'!$C$1:$J$200,3,0))</f>
        <v/>
      </c>
      <c r="E35" s="30" t="str">
        <f>IF(C35="","",IF(ISERROR(VLOOKUP(C35,'Policy Portfolio'!$H$21:$H$29,1,FALSE)),"Tactical","Policy"))</f>
        <v/>
      </c>
      <c r="F35" s="30" t="str">
        <f>IF(C35="","",VLOOKUP(C35,'ETF List'!$C$1:$J$200,4,0))</f>
        <v/>
      </c>
      <c r="G35" s="30" t="str">
        <f>IF(C35="","",VLOOKUP(C35,'ETF List'!$C$1:$J$200,5,0))</f>
        <v/>
      </c>
      <c r="H35" s="462" t="str">
        <f>IF(C35="","",INDEX('Portfolio Bucket'!$C$2:$I$69,MATCH(C35,'Portfolio Bucket'!$C$2:$C$69,0),MATCH($E$5,'Portfolio Bucket'!$C$1:$I$1,0)))</f>
        <v/>
      </c>
      <c r="I35" s="458" t="str">
        <f>IF(C35="","",IF(INDEX('Price Inputs'!$C$5:$J$49,MATCH(C35,'Price Inputs'!$C$5:$C$49,0),MATCH('Current Portfolio'!$E$5,'Price Inputs'!$C$5:$J$5,0))=0,VLOOKUP(C35,Trades!$C$32:$O$59,8,FALSE),INDEX('Price Inputs'!$C$5:$J$49,MATCH(C35,'Price Inputs'!$C$5:$C$49,0),MATCH('Current Portfolio'!$E$5,'Price Inputs'!$C$5:$J$5,0))))</f>
        <v/>
      </c>
      <c r="J35" s="463" t="str">
        <f t="shared" si="1"/>
        <v/>
      </c>
      <c r="K35" s="464" t="str">
        <f t="shared" si="5"/>
        <v/>
      </c>
      <c r="L35" s="23"/>
      <c r="M35" s="23"/>
      <c r="N35" s="23"/>
      <c r="O35" s="23"/>
      <c r="P35" s="23"/>
      <c r="Q35" s="23"/>
      <c r="R35" s="23"/>
      <c r="S35" s="23"/>
      <c r="T35" s="342"/>
      <c r="V35" s="338">
        <f t="shared" si="3"/>
        <v>0</v>
      </c>
      <c r="W35" s="338">
        <f t="shared" si="3"/>
        <v>0</v>
      </c>
      <c r="X35" s="338">
        <f t="shared" si="4"/>
        <v>0</v>
      </c>
      <c r="Y35" s="338">
        <f t="shared" si="4"/>
        <v>0</v>
      </c>
      <c r="Z35" s="338">
        <f t="shared" si="4"/>
        <v>0</v>
      </c>
      <c r="AD35" s="23"/>
      <c r="AE35" s="23"/>
      <c r="AF35" s="23"/>
      <c r="AG35" s="23"/>
      <c r="AH35" s="23"/>
      <c r="AI35" s="23"/>
      <c r="AJ35" s="23"/>
      <c r="AK35" s="23"/>
      <c r="AL35" s="23"/>
      <c r="AM35" s="23"/>
      <c r="AN35" s="23"/>
      <c r="AO35" s="23"/>
    </row>
    <row r="36" spans="1:41" ht="17.25" customHeight="1" x14ac:dyDescent="0.2">
      <c r="A36" s="329">
        <f>IF(B36&lt;='Policy Portfolio'!$A$17,'Current Portfolio'!$B36,$B36)</f>
        <v>26</v>
      </c>
      <c r="B36" s="321">
        <v>26</v>
      </c>
      <c r="C36" s="461" t="str">
        <f>IF(ISERROR(VLOOKUP(B36,'Portfolio Bucket'!$A$2:$C$69,2,FALSE)),"",VLOOKUP(B36,'Portfolio Bucket'!$A$2:$C$69,3,FALSE))</f>
        <v/>
      </c>
      <c r="D36" s="30" t="str">
        <f>IF(C36="","",VLOOKUP(C36,'ETF List'!$C$1:$J$200,3,0))</f>
        <v/>
      </c>
      <c r="E36" s="30" t="str">
        <f>IF(C36="","",IF(ISERROR(VLOOKUP(C36,'Policy Portfolio'!$H$21:$H$29,1,FALSE)),"Tactical","Policy"))</f>
        <v/>
      </c>
      <c r="F36" s="30" t="str">
        <f>IF(C36="","",VLOOKUP(C36,'ETF List'!$C$1:$J$200,4,0))</f>
        <v/>
      </c>
      <c r="G36" s="30" t="str">
        <f>IF(C36="","",VLOOKUP(C36,'ETF List'!$C$1:$J$200,5,0))</f>
        <v/>
      </c>
      <c r="H36" s="462" t="str">
        <f>IF(C36="","",INDEX('Portfolio Bucket'!$C$2:$I$69,MATCH(C36,'Portfolio Bucket'!$C$2:$C$69,0),MATCH($E$5,'Portfolio Bucket'!$C$1:$I$1,0)))</f>
        <v/>
      </c>
      <c r="I36" s="458" t="str">
        <f>IF(C36="","",IF(INDEX('Price Inputs'!$C$5:$J$49,MATCH(C36,'Price Inputs'!$C$5:$C$49,0),MATCH('Current Portfolio'!$E$5,'Price Inputs'!$C$5:$J$5,0))=0,VLOOKUP(C36,Trades!$C$32:$O$59,8,FALSE),INDEX('Price Inputs'!$C$5:$J$49,MATCH(C36,'Price Inputs'!$C$5:$C$49,0),MATCH('Current Portfolio'!$E$5,'Price Inputs'!$C$5:$J$5,0))))</f>
        <v/>
      </c>
      <c r="J36" s="463" t="str">
        <f t="shared" si="1"/>
        <v/>
      </c>
      <c r="K36" s="464" t="str">
        <f t="shared" si="5"/>
        <v/>
      </c>
      <c r="L36" s="23"/>
      <c r="M36" s="23"/>
      <c r="N36" s="23"/>
      <c r="O36" s="23"/>
      <c r="P36" s="23"/>
      <c r="Q36" s="23"/>
      <c r="R36" s="23"/>
      <c r="S36" s="23"/>
      <c r="T36" s="342"/>
      <c r="V36" s="338">
        <f t="shared" si="3"/>
        <v>0</v>
      </c>
      <c r="W36" s="338">
        <f t="shared" si="3"/>
        <v>0</v>
      </c>
      <c r="X36" s="338">
        <f t="shared" si="4"/>
        <v>0</v>
      </c>
      <c r="Y36" s="338">
        <f t="shared" si="4"/>
        <v>0</v>
      </c>
      <c r="Z36" s="338">
        <f t="shared" si="4"/>
        <v>0</v>
      </c>
      <c r="AD36" s="23"/>
      <c r="AE36" s="23"/>
      <c r="AF36" s="23"/>
      <c r="AG36" s="23"/>
      <c r="AH36" s="23"/>
      <c r="AI36" s="23"/>
      <c r="AJ36" s="23"/>
      <c r="AK36" s="23"/>
      <c r="AL36" s="23"/>
      <c r="AM36" s="23"/>
      <c r="AN36" s="23"/>
      <c r="AO36" s="23"/>
    </row>
    <row r="37" spans="1:41" ht="17.25" customHeight="1" x14ac:dyDescent="0.2">
      <c r="A37" s="329">
        <f>IF(B37&lt;='Policy Portfolio'!$A$17,'Current Portfolio'!$B37,$B37)</f>
        <v>27</v>
      </c>
      <c r="B37" s="321">
        <v>27</v>
      </c>
      <c r="C37" s="461" t="str">
        <f>IF(ISERROR(VLOOKUP(B37,'Portfolio Bucket'!$A$2:$C$69,2,FALSE)),"",VLOOKUP(B37,'Portfolio Bucket'!$A$2:$C$69,3,FALSE))</f>
        <v/>
      </c>
      <c r="D37" s="30" t="str">
        <f>IF(C37="","",VLOOKUP(C37,'ETF List'!$C$1:$J$200,3,0))</f>
        <v/>
      </c>
      <c r="E37" s="30" t="str">
        <f>IF(C37="","",IF(ISERROR(VLOOKUP(C37,'Policy Portfolio'!$H$21:$H$29,1,FALSE)),"Tactical","Policy"))</f>
        <v/>
      </c>
      <c r="F37" s="30" t="str">
        <f>IF(C37="","",VLOOKUP(C37,'ETF List'!$C$1:$J$200,4,0))</f>
        <v/>
      </c>
      <c r="G37" s="30" t="str">
        <f>IF(C37="","",VLOOKUP(C37,'ETF List'!$C$1:$J$200,5,0))</f>
        <v/>
      </c>
      <c r="H37" s="462" t="str">
        <f>IF(C37="","",INDEX('Portfolio Bucket'!$C$2:$I$69,MATCH(C37,'Portfolio Bucket'!$C$2:$C$69,0),MATCH($E$5,'Portfolio Bucket'!$C$1:$I$1,0)))</f>
        <v/>
      </c>
      <c r="I37" s="458" t="str">
        <f>IF(C37="","",IF(INDEX('Price Inputs'!$C$5:$J$49,MATCH(C37,'Price Inputs'!$C$5:$C$49,0),MATCH('Current Portfolio'!$E$5,'Price Inputs'!$C$5:$J$5,0))=0,VLOOKUP(C37,Trades!$C$32:$O$59,8,FALSE),INDEX('Price Inputs'!$C$5:$J$49,MATCH(C37,'Price Inputs'!$C$5:$C$49,0),MATCH('Current Portfolio'!$E$5,'Price Inputs'!$C$5:$J$5,0))))</f>
        <v/>
      </c>
      <c r="J37" s="463" t="str">
        <f t="shared" si="1"/>
        <v/>
      </c>
      <c r="K37" s="464" t="str">
        <f t="shared" si="5"/>
        <v/>
      </c>
      <c r="L37" s="23"/>
      <c r="M37" s="23"/>
      <c r="N37" s="23"/>
      <c r="O37" s="23"/>
      <c r="P37" s="23"/>
      <c r="Q37" s="23"/>
      <c r="R37" s="23"/>
      <c r="S37" s="23"/>
      <c r="T37" s="342"/>
      <c r="V37" s="338">
        <f t="shared" si="3"/>
        <v>0</v>
      </c>
      <c r="W37" s="338">
        <f t="shared" si="3"/>
        <v>0</v>
      </c>
      <c r="X37" s="338">
        <f t="shared" si="4"/>
        <v>0</v>
      </c>
      <c r="Y37" s="338">
        <f t="shared" si="4"/>
        <v>0</v>
      </c>
      <c r="Z37" s="338">
        <f t="shared" si="4"/>
        <v>0</v>
      </c>
      <c r="AD37" s="23"/>
      <c r="AE37" s="23"/>
      <c r="AF37" s="23"/>
      <c r="AG37" s="23"/>
      <c r="AH37" s="23"/>
      <c r="AI37" s="23"/>
      <c r="AJ37" s="23"/>
      <c r="AK37" s="23"/>
      <c r="AL37" s="23"/>
      <c r="AM37" s="23"/>
      <c r="AN37" s="23"/>
      <c r="AO37" s="23"/>
    </row>
    <row r="38" spans="1:41" ht="17.25" customHeight="1" x14ac:dyDescent="0.2">
      <c r="A38" s="329">
        <f>IF(B38&lt;='Policy Portfolio'!$A$17,'Current Portfolio'!$B38,$B38)</f>
        <v>28</v>
      </c>
      <c r="B38" s="321">
        <v>28</v>
      </c>
      <c r="C38" s="461" t="str">
        <f>IF(ISERROR(VLOOKUP(B38,'Portfolio Bucket'!$A$2:$C$69,2,FALSE)),"",VLOOKUP(B38,'Portfolio Bucket'!$A$2:$C$69,3,FALSE))</f>
        <v/>
      </c>
      <c r="D38" s="30" t="str">
        <f>IF(C38="","",VLOOKUP(C38,'ETF List'!$C$1:$J$200,3,0))</f>
        <v/>
      </c>
      <c r="E38" s="30" t="str">
        <f>IF(C38="","",IF(ISERROR(VLOOKUP(C38,'Policy Portfolio'!$H$21:$H$29,1,FALSE)),"Tactical","Policy"))</f>
        <v/>
      </c>
      <c r="F38" s="30" t="str">
        <f>IF(C38="","",VLOOKUP(C38,'ETF List'!$C$1:$J$200,4,0))</f>
        <v/>
      </c>
      <c r="G38" s="30" t="str">
        <f>IF(C38="","",VLOOKUP(C38,'ETF List'!$C$1:$J$200,5,0))</f>
        <v/>
      </c>
      <c r="H38" s="462" t="str">
        <f>IF(C38="","",INDEX('Portfolio Bucket'!$C$2:$I$69,MATCH(C38,'Portfolio Bucket'!$C$2:$C$69,0),MATCH($E$5,'Portfolio Bucket'!$C$1:$I$1,0)))</f>
        <v/>
      </c>
      <c r="I38" s="458" t="str">
        <f>IF(C38="","",IF(INDEX('Price Inputs'!$C$5:$J$49,MATCH(C38,'Price Inputs'!$C$5:$C$49,0),MATCH('Current Portfolio'!$E$5,'Price Inputs'!$C$5:$J$5,0))=0,VLOOKUP(C38,Trades!$C$32:$O$59,8,FALSE),INDEX('Price Inputs'!$C$5:$J$49,MATCH(C38,'Price Inputs'!$C$5:$C$49,0),MATCH('Current Portfolio'!$E$5,'Price Inputs'!$C$5:$J$5,0))))</f>
        <v/>
      </c>
      <c r="J38" s="463" t="str">
        <f t="shared" si="1"/>
        <v/>
      </c>
      <c r="K38" s="464" t="str">
        <f t="shared" si="5"/>
        <v/>
      </c>
      <c r="L38" s="23"/>
      <c r="M38" s="23"/>
      <c r="N38" s="23"/>
      <c r="O38" s="23"/>
      <c r="P38" s="23"/>
      <c r="Q38" s="23"/>
      <c r="R38" s="23"/>
      <c r="S38" s="23"/>
      <c r="T38" s="342"/>
      <c r="V38" s="338">
        <f t="shared" si="3"/>
        <v>0</v>
      </c>
      <c r="W38" s="338">
        <f t="shared" si="3"/>
        <v>0</v>
      </c>
      <c r="X38" s="338">
        <f t="shared" si="4"/>
        <v>0</v>
      </c>
      <c r="Y38" s="338">
        <f t="shared" si="4"/>
        <v>0</v>
      </c>
      <c r="Z38" s="338">
        <f t="shared" si="4"/>
        <v>0</v>
      </c>
      <c r="AD38" s="23"/>
      <c r="AE38" s="23"/>
      <c r="AF38" s="23"/>
      <c r="AG38" s="23"/>
      <c r="AH38" s="23"/>
      <c r="AI38" s="23"/>
      <c r="AJ38" s="23"/>
      <c r="AK38" s="23"/>
      <c r="AL38" s="23"/>
      <c r="AM38" s="23"/>
      <c r="AN38" s="23"/>
      <c r="AO38" s="23"/>
    </row>
    <row r="39" spans="1:41" ht="17.25" customHeight="1" x14ac:dyDescent="0.2">
      <c r="A39" s="329">
        <f>IF(B39&lt;='Policy Portfolio'!$A$17,'Current Portfolio'!$B39,$B39)</f>
        <v>29</v>
      </c>
      <c r="B39" s="321">
        <v>29</v>
      </c>
      <c r="C39" s="461" t="str">
        <f>IF(ISERROR(VLOOKUP(B39,'Portfolio Bucket'!$A$2:$C$69,2,FALSE)),"",VLOOKUP(B39,'Portfolio Bucket'!$A$2:$C$69,3,FALSE))</f>
        <v/>
      </c>
      <c r="D39" s="30" t="str">
        <f>IF(C39="","",VLOOKUP(C39,'ETF List'!$C$1:$J$200,3,0))</f>
        <v/>
      </c>
      <c r="E39" s="30" t="str">
        <f>IF(C39="","",IF(ISERROR(VLOOKUP(C39,'Policy Portfolio'!$H$21:$H$29,1,FALSE)),"Tactical","Policy"))</f>
        <v/>
      </c>
      <c r="F39" s="30" t="str">
        <f>IF(C39="","",VLOOKUP(C39,'ETF List'!$C$1:$J$200,4,0))</f>
        <v/>
      </c>
      <c r="G39" s="30" t="str">
        <f>IF(C39="","",VLOOKUP(C39,'ETF List'!$C$1:$J$200,5,0))</f>
        <v/>
      </c>
      <c r="H39" s="462" t="str">
        <f>IF(C39="","",INDEX('Portfolio Bucket'!$C$2:$I$69,MATCH(C39,'Portfolio Bucket'!$C$2:$C$69,0),MATCH($E$5,'Portfolio Bucket'!$C$1:$I$1,0)))</f>
        <v/>
      </c>
      <c r="I39" s="458" t="str">
        <f>IF(C39="","",IF(INDEX('Price Inputs'!$C$5:$J$49,MATCH(C39,'Price Inputs'!$C$5:$C$49,0),MATCH('Current Portfolio'!$E$5,'Price Inputs'!$C$5:$J$5,0))=0,VLOOKUP(C39,Trades!$C$32:$O$59,8,FALSE),INDEX('Price Inputs'!$C$5:$J$49,MATCH(C39,'Price Inputs'!$C$5:$C$49,0),MATCH('Current Portfolio'!$E$5,'Price Inputs'!$C$5:$J$5,0))))</f>
        <v/>
      </c>
      <c r="J39" s="463" t="str">
        <f t="shared" si="1"/>
        <v/>
      </c>
      <c r="K39" s="464" t="str">
        <f t="shared" si="5"/>
        <v/>
      </c>
      <c r="L39" s="23"/>
      <c r="M39" s="23"/>
      <c r="N39" s="23"/>
      <c r="O39" s="23"/>
      <c r="P39" s="23"/>
      <c r="Q39" s="23"/>
      <c r="R39" s="23"/>
      <c r="S39" s="23"/>
      <c r="T39" s="342"/>
      <c r="V39" s="338">
        <f t="shared" si="3"/>
        <v>0</v>
      </c>
      <c r="W39" s="338">
        <f t="shared" si="3"/>
        <v>0</v>
      </c>
      <c r="X39" s="338">
        <f t="shared" si="4"/>
        <v>0</v>
      </c>
      <c r="Y39" s="338">
        <f t="shared" si="4"/>
        <v>0</v>
      </c>
      <c r="Z39" s="338">
        <f t="shared" si="4"/>
        <v>0</v>
      </c>
      <c r="AD39" s="23"/>
      <c r="AE39" s="23"/>
      <c r="AF39" s="23"/>
      <c r="AG39" s="23"/>
      <c r="AH39" s="23"/>
      <c r="AI39" s="23"/>
      <c r="AJ39" s="23"/>
      <c r="AK39" s="23"/>
      <c r="AL39" s="23"/>
      <c r="AM39" s="23"/>
      <c r="AN39" s="23"/>
      <c r="AO39" s="23"/>
    </row>
    <row r="40" spans="1:41" ht="17.25" customHeight="1" x14ac:dyDescent="0.2">
      <c r="A40" s="329">
        <f>IF(B40&lt;='Policy Portfolio'!$A$17,'Current Portfolio'!$B40,$B40)</f>
        <v>30</v>
      </c>
      <c r="B40" s="321">
        <v>30</v>
      </c>
      <c r="C40" s="465" t="str">
        <f>IF(ISERROR(VLOOKUP(B40,'Portfolio Bucket'!$A$2:$C$69,2,FALSE)),"",VLOOKUP(B40,'Portfolio Bucket'!$A$2:$C$69,3,FALSE))</f>
        <v/>
      </c>
      <c r="D40" s="181" t="str">
        <f>IF(C40="","",VLOOKUP(C40,'ETF List'!$C$1:$J$200,3,0))</f>
        <v/>
      </c>
      <c r="E40" s="181" t="str">
        <f>IF(C40="","",IF(ISERROR(VLOOKUP(C40,'Policy Portfolio'!$H$21:$H$29,1,FALSE)),"Tactical","Policy"))</f>
        <v/>
      </c>
      <c r="F40" s="181" t="str">
        <f>IF(C40="","",VLOOKUP(C40,'ETF List'!$C$1:$J$200,4,0))</f>
        <v/>
      </c>
      <c r="G40" s="181" t="str">
        <f>IF(C40="","",VLOOKUP(C40,'ETF List'!$C$1:$J$200,5,0))</f>
        <v/>
      </c>
      <c r="H40" s="466" t="str">
        <f>IF(C40="","",INDEX('Portfolio Bucket'!$C$2:$I$69,MATCH(C40,'Portfolio Bucket'!$C$2:$C$69,0),MATCH($E$5,'Portfolio Bucket'!$C$1:$I$1,0)))</f>
        <v/>
      </c>
      <c r="I40" s="467" t="str">
        <f>IF(C40="","",IF(INDEX('Price Inputs'!$C$5:$J$49,MATCH(C40,'Price Inputs'!$C$5:$C$49,0),MATCH('Current Portfolio'!$E$5,'Price Inputs'!$C$5:$J$5,0))=0,VLOOKUP(C40,Trades!$C$32:$O$59,8,FALSE),INDEX('Price Inputs'!$C$5:$J$49,MATCH(C40,'Price Inputs'!$C$5:$C$49,0),MATCH('Current Portfolio'!$E$5,'Price Inputs'!$C$5:$J$5,0))))</f>
        <v/>
      </c>
      <c r="J40" s="468" t="str">
        <f t="shared" si="1"/>
        <v/>
      </c>
      <c r="K40" s="469" t="str">
        <f t="shared" si="5"/>
        <v/>
      </c>
      <c r="L40" s="23"/>
      <c r="M40" s="23"/>
      <c r="N40" s="23"/>
      <c r="O40" s="23"/>
      <c r="P40" s="23"/>
      <c r="Q40" s="23"/>
      <c r="R40" s="23"/>
      <c r="S40" s="23"/>
      <c r="T40" s="342"/>
      <c r="V40" s="338">
        <f t="shared" si="3"/>
        <v>0</v>
      </c>
      <c r="W40" s="338">
        <f t="shared" si="3"/>
        <v>0</v>
      </c>
      <c r="X40" s="338">
        <f t="shared" si="4"/>
        <v>0</v>
      </c>
      <c r="Y40" s="338">
        <f t="shared" si="4"/>
        <v>0</v>
      </c>
      <c r="Z40" s="338">
        <f t="shared" si="4"/>
        <v>0</v>
      </c>
      <c r="AD40" s="23"/>
      <c r="AE40" s="23"/>
      <c r="AF40" s="23"/>
      <c r="AG40" s="23"/>
      <c r="AH40" s="23"/>
      <c r="AI40" s="23"/>
      <c r="AJ40" s="23"/>
      <c r="AK40" s="23"/>
      <c r="AL40" s="23"/>
      <c r="AM40" s="23"/>
      <c r="AN40" s="23"/>
      <c r="AO40" s="23"/>
    </row>
    <row r="41" spans="1:41" ht="17.25" customHeight="1" x14ac:dyDescent="0.2">
      <c r="C41" s="24"/>
      <c r="D41" s="24"/>
      <c r="E41" s="24"/>
      <c r="F41" s="24"/>
      <c r="G41" s="24"/>
      <c r="H41" s="24"/>
      <c r="I41" s="24"/>
      <c r="J41" s="24"/>
      <c r="AD41" s="23"/>
      <c r="AE41" s="23"/>
      <c r="AF41" s="23"/>
      <c r="AG41" s="23"/>
      <c r="AH41" s="23"/>
      <c r="AI41" s="23"/>
      <c r="AJ41" s="23"/>
      <c r="AK41" s="23"/>
      <c r="AL41" s="23"/>
      <c r="AM41" s="23"/>
      <c r="AN41" s="23"/>
      <c r="AO41" s="23"/>
    </row>
    <row r="42" spans="1:41" ht="17.25" customHeight="1" x14ac:dyDescent="0.2">
      <c r="C42" s="24"/>
      <c r="D42" s="24"/>
      <c r="E42" s="24"/>
      <c r="F42" s="24"/>
      <c r="G42" s="24"/>
      <c r="H42" s="24"/>
      <c r="I42" s="24"/>
      <c r="J42" s="24"/>
      <c r="AD42" s="23"/>
      <c r="AE42" s="23"/>
      <c r="AF42" s="23"/>
      <c r="AG42" s="23"/>
      <c r="AH42" s="23"/>
      <c r="AI42" s="23"/>
      <c r="AJ42" s="23"/>
      <c r="AK42" s="23"/>
      <c r="AL42" s="23"/>
      <c r="AM42" s="23"/>
      <c r="AN42" s="23"/>
      <c r="AO42" s="23"/>
    </row>
    <row r="43" spans="1:41" ht="17.25" customHeight="1" x14ac:dyDescent="0.2">
      <c r="C43" s="24"/>
      <c r="D43" s="24"/>
      <c r="E43" s="24"/>
      <c r="F43" s="24"/>
      <c r="G43" s="24"/>
      <c r="H43" s="24"/>
      <c r="I43" s="24"/>
      <c r="J43" s="24"/>
      <c r="AD43" s="23"/>
      <c r="AE43" s="23"/>
      <c r="AF43" s="23"/>
      <c r="AG43" s="23"/>
      <c r="AH43" s="23"/>
      <c r="AI43" s="23"/>
      <c r="AJ43" s="23"/>
      <c r="AK43" s="23"/>
      <c r="AL43" s="23"/>
      <c r="AM43" s="23"/>
      <c r="AN43" s="23"/>
      <c r="AO43" s="23"/>
    </row>
    <row r="44" spans="1:41" ht="17.25" customHeight="1" x14ac:dyDescent="0.2">
      <c r="AD44" s="23"/>
      <c r="AE44" s="23"/>
      <c r="AF44" s="23"/>
      <c r="AG44" s="23"/>
      <c r="AH44" s="23"/>
      <c r="AI44" s="23"/>
      <c r="AJ44" s="23"/>
      <c r="AK44" s="23"/>
      <c r="AL44" s="23"/>
      <c r="AM44" s="23"/>
      <c r="AN44" s="23"/>
      <c r="AO44" s="23"/>
    </row>
    <row r="45" spans="1:41" ht="17.25" customHeight="1" x14ac:dyDescent="0.2">
      <c r="AD45" s="23"/>
      <c r="AE45" s="23"/>
      <c r="AF45" s="23"/>
      <c r="AG45" s="23"/>
      <c r="AH45" s="23"/>
      <c r="AI45" s="23"/>
      <c r="AJ45" s="23"/>
      <c r="AK45" s="23"/>
      <c r="AL45" s="23"/>
      <c r="AM45" s="23"/>
      <c r="AN45" s="23"/>
      <c r="AO45" s="23"/>
    </row>
    <row r="46" spans="1:41" ht="17.25" customHeight="1" x14ac:dyDescent="0.2">
      <c r="AD46" s="23"/>
      <c r="AE46" s="23"/>
      <c r="AF46" s="23"/>
      <c r="AG46" s="23"/>
      <c r="AH46" s="23"/>
      <c r="AI46" s="23"/>
      <c r="AJ46" s="23"/>
      <c r="AK46" s="23"/>
      <c r="AL46" s="23"/>
      <c r="AM46" s="23"/>
      <c r="AN46" s="23"/>
      <c r="AO46" s="23"/>
    </row>
    <row r="47" spans="1:41" ht="17.25" customHeight="1" x14ac:dyDescent="0.2">
      <c r="AD47" s="23"/>
      <c r="AE47" s="23"/>
      <c r="AF47" s="23"/>
      <c r="AG47" s="23"/>
      <c r="AH47" s="23"/>
      <c r="AI47" s="23"/>
      <c r="AJ47" s="23"/>
      <c r="AK47" s="23"/>
      <c r="AL47" s="23"/>
      <c r="AM47" s="23"/>
      <c r="AN47" s="23"/>
      <c r="AO47" s="23"/>
    </row>
    <row r="48" spans="1:41" ht="17.25" customHeight="1" x14ac:dyDescent="0.2">
      <c r="AD48" s="23"/>
      <c r="AE48" s="23"/>
      <c r="AF48" s="23"/>
      <c r="AG48" s="23"/>
      <c r="AH48" s="23"/>
      <c r="AI48" s="23"/>
      <c r="AJ48" s="23"/>
      <c r="AK48" s="23"/>
      <c r="AL48" s="23"/>
      <c r="AM48" s="23"/>
      <c r="AN48" s="23"/>
      <c r="AO48" s="23"/>
    </row>
    <row r="49" spans="30:41" ht="17.25" customHeight="1" x14ac:dyDescent="0.2">
      <c r="AD49" s="23"/>
      <c r="AE49" s="23"/>
      <c r="AF49" s="23"/>
      <c r="AG49" s="23"/>
      <c r="AH49" s="23"/>
      <c r="AI49" s="23"/>
      <c r="AJ49" s="23"/>
      <c r="AK49" s="23"/>
      <c r="AL49" s="23"/>
      <c r="AM49" s="23"/>
      <c r="AN49" s="23"/>
      <c r="AO49" s="23"/>
    </row>
    <row r="50" spans="30:41" ht="17.25" customHeight="1" x14ac:dyDescent="0.2">
      <c r="AD50" s="23"/>
      <c r="AE50" s="23"/>
      <c r="AF50" s="23"/>
      <c r="AG50" s="23"/>
      <c r="AH50" s="23"/>
      <c r="AI50" s="23"/>
      <c r="AJ50" s="23"/>
      <c r="AK50" s="23"/>
      <c r="AL50" s="23"/>
      <c r="AM50" s="23"/>
      <c r="AN50" s="23"/>
      <c r="AO50" s="23"/>
    </row>
    <row r="51" spans="30:41" ht="17.25" customHeight="1" x14ac:dyDescent="0.2">
      <c r="AD51" s="23"/>
      <c r="AE51" s="23"/>
      <c r="AF51" s="23"/>
      <c r="AG51" s="23"/>
      <c r="AH51" s="23"/>
      <c r="AI51" s="23"/>
      <c r="AJ51" s="23"/>
      <c r="AK51" s="23"/>
      <c r="AL51" s="23"/>
      <c r="AM51" s="23"/>
      <c r="AN51" s="23"/>
      <c r="AO51" s="23"/>
    </row>
    <row r="52" spans="30:41" ht="17.25" customHeight="1" x14ac:dyDescent="0.2">
      <c r="AD52" s="23"/>
      <c r="AE52" s="23"/>
      <c r="AF52" s="23"/>
      <c r="AG52" s="23"/>
      <c r="AH52" s="23"/>
      <c r="AI52" s="23"/>
      <c r="AJ52" s="23"/>
      <c r="AK52" s="23"/>
      <c r="AL52" s="23"/>
      <c r="AM52" s="23"/>
      <c r="AN52" s="23"/>
      <c r="AO52" s="23"/>
    </row>
    <row r="53" spans="30:41" ht="17.25" customHeight="1" x14ac:dyDescent="0.2">
      <c r="AD53" s="23"/>
      <c r="AE53" s="23"/>
      <c r="AF53" s="23"/>
      <c r="AG53" s="23"/>
      <c r="AH53" s="23"/>
      <c r="AI53" s="23"/>
      <c r="AJ53" s="23"/>
      <c r="AK53" s="23"/>
      <c r="AL53" s="23"/>
      <c r="AM53" s="23"/>
      <c r="AN53" s="23"/>
      <c r="AO53" s="23"/>
    </row>
    <row r="54" spans="30:41" ht="17.25" customHeight="1" x14ac:dyDescent="0.2">
      <c r="AD54" s="23"/>
      <c r="AE54" s="23"/>
      <c r="AF54" s="23"/>
      <c r="AG54" s="23"/>
      <c r="AH54" s="23"/>
      <c r="AI54" s="23"/>
      <c r="AJ54" s="23"/>
      <c r="AK54" s="23"/>
      <c r="AL54" s="23"/>
      <c r="AM54" s="23"/>
      <c r="AN54" s="23"/>
      <c r="AO54" s="23"/>
    </row>
    <row r="55" spans="30:41" ht="17.25" customHeight="1" x14ac:dyDescent="0.2">
      <c r="AD55" s="23"/>
      <c r="AE55" s="23"/>
      <c r="AF55" s="23"/>
      <c r="AG55" s="23"/>
      <c r="AH55" s="23"/>
      <c r="AI55" s="23"/>
      <c r="AJ55" s="23"/>
      <c r="AK55" s="23"/>
      <c r="AL55" s="23"/>
      <c r="AM55" s="23"/>
      <c r="AN55" s="23"/>
      <c r="AO55" s="23"/>
    </row>
    <row r="56" spans="30:41" ht="17.25" customHeight="1" x14ac:dyDescent="0.2">
      <c r="AD56" s="23"/>
      <c r="AE56" s="23"/>
      <c r="AF56" s="23"/>
      <c r="AG56" s="23"/>
      <c r="AH56" s="23"/>
      <c r="AI56" s="23"/>
      <c r="AJ56" s="23"/>
      <c r="AK56" s="23"/>
      <c r="AL56" s="23"/>
      <c r="AM56" s="23"/>
      <c r="AN56" s="23"/>
      <c r="AO56" s="23"/>
    </row>
    <row r="57" spans="30:41" ht="17.25" customHeight="1" x14ac:dyDescent="0.2">
      <c r="AD57" s="23"/>
      <c r="AE57" s="23"/>
      <c r="AF57" s="23"/>
      <c r="AG57" s="23"/>
      <c r="AH57" s="23"/>
      <c r="AI57" s="23"/>
      <c r="AJ57" s="23"/>
      <c r="AK57" s="23"/>
      <c r="AL57" s="23"/>
      <c r="AM57" s="23"/>
      <c r="AN57" s="23"/>
      <c r="AO57" s="23"/>
    </row>
    <row r="58" spans="30:41" ht="17.25" customHeight="1" x14ac:dyDescent="0.2">
      <c r="AD58" s="23"/>
      <c r="AE58" s="23"/>
      <c r="AF58" s="23"/>
      <c r="AG58" s="23"/>
      <c r="AH58" s="23"/>
      <c r="AI58" s="23"/>
      <c r="AJ58" s="23"/>
      <c r="AK58" s="23"/>
      <c r="AL58" s="23"/>
      <c r="AM58" s="23"/>
      <c r="AN58" s="23"/>
      <c r="AO58" s="23"/>
    </row>
    <row r="59" spans="30:41" ht="17.25" customHeight="1" x14ac:dyDescent="0.2">
      <c r="AD59" s="23"/>
      <c r="AE59" s="23"/>
      <c r="AF59" s="23"/>
      <c r="AG59" s="23"/>
      <c r="AH59" s="23"/>
      <c r="AI59" s="23"/>
      <c r="AJ59" s="23"/>
      <c r="AK59" s="23"/>
      <c r="AL59" s="23"/>
      <c r="AM59" s="23"/>
      <c r="AN59" s="23"/>
      <c r="AO59" s="23"/>
    </row>
    <row r="60" spans="30:41" ht="17.25" customHeight="1" x14ac:dyDescent="0.2">
      <c r="AD60" s="23"/>
      <c r="AE60" s="23"/>
      <c r="AF60" s="23"/>
      <c r="AG60" s="23"/>
      <c r="AH60" s="23"/>
      <c r="AI60" s="23"/>
      <c r="AJ60" s="23"/>
      <c r="AK60" s="23"/>
      <c r="AL60" s="23"/>
      <c r="AM60" s="23"/>
      <c r="AN60" s="23"/>
      <c r="AO60" s="23"/>
    </row>
    <row r="61" spans="30:41" ht="17.25" customHeight="1" x14ac:dyDescent="0.2">
      <c r="AD61" s="23"/>
      <c r="AE61" s="23"/>
      <c r="AF61" s="23"/>
      <c r="AG61" s="23"/>
      <c r="AH61" s="23"/>
      <c r="AI61" s="23"/>
      <c r="AJ61" s="23"/>
      <c r="AK61" s="23"/>
      <c r="AL61" s="23"/>
      <c r="AM61" s="23"/>
      <c r="AN61" s="23"/>
      <c r="AO61" s="23"/>
    </row>
    <row r="62" spans="30:41" ht="17.25" customHeight="1" x14ac:dyDescent="0.2">
      <c r="AD62" s="23"/>
      <c r="AE62" s="23"/>
      <c r="AF62" s="23"/>
      <c r="AG62" s="23"/>
      <c r="AH62" s="23"/>
      <c r="AI62" s="23"/>
      <c r="AJ62" s="23"/>
      <c r="AK62" s="23"/>
      <c r="AL62" s="23"/>
      <c r="AM62" s="23"/>
      <c r="AN62" s="23"/>
      <c r="AO62" s="23"/>
    </row>
    <row r="63" spans="30:41" ht="17.25" customHeight="1" x14ac:dyDescent="0.2">
      <c r="AD63" s="23"/>
      <c r="AE63" s="23"/>
      <c r="AF63" s="23"/>
      <c r="AG63" s="23"/>
      <c r="AH63" s="23"/>
      <c r="AI63" s="23"/>
      <c r="AJ63" s="23"/>
      <c r="AK63" s="23"/>
      <c r="AL63" s="23"/>
      <c r="AM63" s="23"/>
      <c r="AN63" s="23"/>
      <c r="AO63" s="23"/>
    </row>
    <row r="64" spans="30:41" ht="17.25" customHeight="1" x14ac:dyDescent="0.2">
      <c r="AD64" s="23"/>
      <c r="AE64" s="23"/>
      <c r="AF64" s="23"/>
      <c r="AG64" s="23"/>
      <c r="AH64" s="23"/>
      <c r="AI64" s="23"/>
      <c r="AJ64" s="23"/>
      <c r="AK64" s="23"/>
      <c r="AL64" s="23"/>
      <c r="AM64" s="23"/>
      <c r="AN64" s="23"/>
      <c r="AO64" s="23"/>
    </row>
    <row r="65" spans="3:41" ht="17.25" customHeight="1" x14ac:dyDescent="0.2">
      <c r="AD65" s="23"/>
      <c r="AE65" s="23"/>
      <c r="AF65" s="23"/>
      <c r="AG65" s="23"/>
      <c r="AH65" s="23"/>
      <c r="AI65" s="23"/>
      <c r="AJ65" s="23"/>
      <c r="AK65" s="23"/>
      <c r="AL65" s="23"/>
      <c r="AM65" s="23"/>
      <c r="AN65" s="23"/>
      <c r="AO65" s="23"/>
    </row>
    <row r="66" spans="3:41" ht="17.25" customHeight="1" x14ac:dyDescent="0.2">
      <c r="AD66" s="23"/>
      <c r="AE66" s="23"/>
      <c r="AF66" s="23"/>
      <c r="AG66" s="23"/>
      <c r="AH66" s="23"/>
      <c r="AI66" s="23"/>
      <c r="AJ66" s="23"/>
      <c r="AK66" s="23"/>
      <c r="AL66" s="23"/>
      <c r="AM66" s="23"/>
      <c r="AN66" s="23"/>
      <c r="AO66" s="23"/>
    </row>
    <row r="67" spans="3:41" ht="17.25" customHeight="1" x14ac:dyDescent="0.2">
      <c r="AD67" s="23"/>
      <c r="AE67" s="23"/>
      <c r="AF67" s="23"/>
      <c r="AG67" s="23"/>
      <c r="AH67" s="23"/>
      <c r="AI67" s="23"/>
      <c r="AJ67" s="23"/>
      <c r="AK67" s="23"/>
      <c r="AL67" s="23"/>
      <c r="AM67" s="23"/>
      <c r="AN67" s="23"/>
      <c r="AO67" s="23"/>
    </row>
    <row r="68" spans="3:41" ht="17.25" customHeight="1" x14ac:dyDescent="0.2">
      <c r="AD68" s="23"/>
      <c r="AE68" s="23"/>
      <c r="AF68" s="23"/>
      <c r="AG68" s="23"/>
      <c r="AH68" s="23"/>
      <c r="AI68" s="23"/>
      <c r="AJ68" s="23"/>
      <c r="AK68" s="23"/>
      <c r="AL68" s="23"/>
      <c r="AM68" s="23"/>
      <c r="AN68" s="23"/>
      <c r="AO68" s="23"/>
    </row>
    <row r="69" spans="3:41" ht="17.25" customHeight="1" x14ac:dyDescent="0.2">
      <c r="AD69" s="23"/>
      <c r="AE69" s="23"/>
      <c r="AF69" s="23"/>
      <c r="AG69" s="23"/>
      <c r="AH69" s="23"/>
      <c r="AI69" s="23"/>
      <c r="AJ69" s="23"/>
      <c r="AK69" s="23"/>
      <c r="AL69" s="23"/>
      <c r="AM69" s="23"/>
      <c r="AN69" s="23"/>
      <c r="AO69" s="23"/>
    </row>
    <row r="70" spans="3:41" ht="17.25" customHeight="1" x14ac:dyDescent="0.2">
      <c r="AD70" s="23"/>
      <c r="AE70" s="23"/>
      <c r="AF70" s="23"/>
      <c r="AG70" s="23"/>
      <c r="AH70" s="23"/>
      <c r="AI70" s="23"/>
      <c r="AJ70" s="23"/>
      <c r="AK70" s="23"/>
      <c r="AL70" s="23"/>
      <c r="AM70" s="23"/>
      <c r="AN70" s="23"/>
      <c r="AO70" s="23"/>
    </row>
    <row r="71" spans="3:41" ht="17.25" customHeight="1" x14ac:dyDescent="0.2">
      <c r="AD71" s="23"/>
      <c r="AE71" s="23"/>
      <c r="AF71" s="23"/>
      <c r="AG71" s="23"/>
      <c r="AH71" s="23"/>
      <c r="AI71" s="23"/>
      <c r="AJ71" s="23"/>
      <c r="AK71" s="23"/>
      <c r="AL71" s="23"/>
      <c r="AM71" s="23"/>
      <c r="AN71" s="23"/>
      <c r="AO71" s="23"/>
    </row>
    <row r="72" spans="3:41" ht="17.25" customHeight="1" x14ac:dyDescent="0.2">
      <c r="AD72" s="23"/>
      <c r="AE72" s="23"/>
      <c r="AF72" s="23"/>
      <c r="AG72" s="23"/>
      <c r="AH72" s="23"/>
      <c r="AI72" s="23"/>
      <c r="AJ72" s="23"/>
      <c r="AK72" s="23"/>
      <c r="AL72" s="23"/>
      <c r="AM72" s="23"/>
      <c r="AN72" s="23"/>
      <c r="AO72" s="23"/>
    </row>
    <row r="73" spans="3:41" ht="17.25" customHeight="1" x14ac:dyDescent="0.2">
      <c r="AD73" s="23"/>
      <c r="AE73" s="23"/>
      <c r="AF73" s="23"/>
      <c r="AG73" s="23"/>
      <c r="AH73" s="23"/>
      <c r="AI73" s="23"/>
      <c r="AJ73" s="23"/>
      <c r="AK73" s="23"/>
      <c r="AL73" s="23"/>
      <c r="AM73" s="23"/>
      <c r="AN73" s="23"/>
      <c r="AO73" s="23"/>
    </row>
    <row r="74" spans="3:41" ht="17.25" customHeight="1" x14ac:dyDescent="0.2">
      <c r="AD74" s="23"/>
      <c r="AE74" s="23"/>
      <c r="AF74" s="23"/>
      <c r="AG74" s="23"/>
      <c r="AH74" s="23"/>
      <c r="AI74" s="23"/>
      <c r="AJ74" s="23"/>
      <c r="AK74" s="23"/>
      <c r="AL74" s="23"/>
      <c r="AM74" s="23"/>
      <c r="AN74" s="23"/>
      <c r="AO74" s="23"/>
    </row>
    <row r="75" spans="3:41" ht="17.25" customHeight="1" x14ac:dyDescent="0.2">
      <c r="AD75" s="23"/>
      <c r="AE75" s="23"/>
      <c r="AF75" s="23"/>
      <c r="AG75" s="23"/>
      <c r="AH75" s="23"/>
      <c r="AI75" s="23"/>
      <c r="AJ75" s="23"/>
      <c r="AK75" s="23"/>
      <c r="AL75" s="23"/>
      <c r="AM75" s="23"/>
      <c r="AN75" s="23"/>
      <c r="AO75" s="23"/>
    </row>
    <row r="76" spans="3:41" ht="17.25" customHeight="1" x14ac:dyDescent="0.2">
      <c r="AD76" s="23"/>
      <c r="AE76" s="23"/>
      <c r="AF76" s="23"/>
      <c r="AG76" s="23"/>
      <c r="AH76" s="23"/>
      <c r="AI76" s="23"/>
      <c r="AJ76" s="23"/>
      <c r="AK76" s="23"/>
      <c r="AL76" s="23"/>
      <c r="AM76" s="23"/>
      <c r="AN76" s="23"/>
      <c r="AO76" s="23"/>
    </row>
    <row r="77" spans="3:41" ht="17.25" customHeight="1" x14ac:dyDescent="0.2">
      <c r="AD77" s="23"/>
      <c r="AE77" s="23"/>
      <c r="AF77" s="23"/>
      <c r="AG77" s="23"/>
      <c r="AH77" s="23"/>
      <c r="AI77" s="23"/>
      <c r="AJ77" s="23"/>
      <c r="AK77" s="23"/>
      <c r="AL77" s="23"/>
      <c r="AM77" s="23"/>
      <c r="AN77" s="23"/>
      <c r="AO77" s="23"/>
    </row>
    <row r="78" spans="3:41" ht="17.25" customHeight="1" x14ac:dyDescent="0.2">
      <c r="C78" s="24"/>
      <c r="D78" s="24"/>
      <c r="E78" s="24"/>
      <c r="F78" s="24"/>
      <c r="G78" s="24"/>
      <c r="H78" s="24"/>
      <c r="I78" s="24"/>
      <c r="J78" s="24"/>
      <c r="AD78" s="23"/>
      <c r="AE78" s="23"/>
      <c r="AF78" s="23"/>
      <c r="AG78" s="23"/>
      <c r="AH78" s="23"/>
      <c r="AI78" s="23"/>
      <c r="AJ78" s="23"/>
      <c r="AK78" s="23"/>
      <c r="AL78" s="23"/>
      <c r="AM78" s="23"/>
      <c r="AN78" s="23"/>
      <c r="AO78" s="23"/>
    </row>
    <row r="79" spans="3:41" ht="17.25" customHeight="1" x14ac:dyDescent="0.2">
      <c r="C79" s="24"/>
      <c r="D79" s="24"/>
      <c r="E79" s="24"/>
      <c r="F79" s="24"/>
      <c r="G79" s="24"/>
      <c r="H79" s="24"/>
      <c r="I79" s="24"/>
      <c r="J79" s="24"/>
      <c r="AD79" s="23"/>
      <c r="AE79" s="23"/>
      <c r="AF79" s="23"/>
      <c r="AG79" s="23"/>
      <c r="AH79" s="23"/>
      <c r="AI79" s="23"/>
      <c r="AJ79" s="23"/>
      <c r="AK79" s="23"/>
      <c r="AL79" s="23"/>
      <c r="AM79" s="23"/>
      <c r="AN79" s="23"/>
      <c r="AO79" s="23"/>
    </row>
    <row r="80" spans="3:41" ht="17.25" customHeight="1" x14ac:dyDescent="0.2">
      <c r="C80" s="24"/>
      <c r="D80" s="24"/>
      <c r="E80" s="24"/>
      <c r="F80" s="24"/>
      <c r="G80" s="24"/>
      <c r="H80" s="24"/>
      <c r="I80" s="24"/>
      <c r="J80" s="24"/>
      <c r="AD80" s="23"/>
      <c r="AE80" s="23"/>
      <c r="AF80" s="23"/>
      <c r="AG80" s="23"/>
      <c r="AH80" s="23"/>
      <c r="AI80" s="23"/>
      <c r="AJ80" s="23"/>
      <c r="AK80" s="23"/>
      <c r="AL80" s="23"/>
      <c r="AM80" s="23"/>
      <c r="AN80" s="23"/>
      <c r="AO80" s="23"/>
    </row>
    <row r="81" spans="3:41" ht="17.25" customHeight="1" x14ac:dyDescent="0.2">
      <c r="C81" s="24"/>
      <c r="D81" s="24"/>
      <c r="E81" s="24"/>
      <c r="F81" s="24"/>
      <c r="G81" s="24"/>
      <c r="H81" s="24"/>
      <c r="I81" s="24"/>
      <c r="J81" s="24"/>
      <c r="AD81" s="23"/>
      <c r="AE81" s="23"/>
      <c r="AF81" s="23"/>
      <c r="AG81" s="23"/>
      <c r="AH81" s="23"/>
      <c r="AI81" s="23"/>
      <c r="AJ81" s="23"/>
      <c r="AK81" s="23"/>
      <c r="AL81" s="23"/>
      <c r="AM81" s="23"/>
      <c r="AN81" s="23"/>
      <c r="AO81" s="23"/>
    </row>
    <row r="82" spans="3:41" ht="17.25" customHeight="1" x14ac:dyDescent="0.2">
      <c r="C82" s="24"/>
      <c r="D82" s="24"/>
      <c r="E82" s="24"/>
      <c r="F82" s="24"/>
      <c r="G82" s="24"/>
      <c r="H82" s="24"/>
      <c r="I82" s="24"/>
      <c r="J82" s="24"/>
      <c r="AD82" s="23"/>
      <c r="AE82" s="23"/>
      <c r="AF82" s="23"/>
      <c r="AG82" s="23"/>
      <c r="AH82" s="23"/>
      <c r="AI82" s="23"/>
      <c r="AJ82" s="23"/>
      <c r="AK82" s="23"/>
      <c r="AL82" s="23"/>
      <c r="AM82" s="23"/>
      <c r="AN82" s="23"/>
      <c r="AO82" s="23"/>
    </row>
    <row r="83" spans="3:41" ht="17.25" customHeight="1" x14ac:dyDescent="0.2">
      <c r="C83" s="24"/>
      <c r="D83" s="24"/>
      <c r="E83" s="24"/>
      <c r="F83" s="24"/>
      <c r="G83" s="24"/>
      <c r="H83" s="24"/>
      <c r="I83" s="24"/>
      <c r="J83" s="24"/>
      <c r="AD83" s="23"/>
      <c r="AE83" s="23"/>
      <c r="AF83" s="23"/>
      <c r="AG83" s="23"/>
      <c r="AH83" s="23"/>
      <c r="AI83" s="23"/>
      <c r="AJ83" s="23"/>
      <c r="AK83" s="23"/>
      <c r="AL83" s="23"/>
      <c r="AM83" s="23"/>
      <c r="AN83" s="23"/>
      <c r="AO83" s="23"/>
    </row>
    <row r="84" spans="3:41" ht="17.25" customHeight="1" x14ac:dyDescent="0.2">
      <c r="C84" s="24"/>
      <c r="D84" s="24"/>
      <c r="E84" s="24"/>
      <c r="F84" s="24"/>
      <c r="G84" s="24"/>
      <c r="H84" s="24"/>
      <c r="I84" s="24"/>
      <c r="J84" s="24"/>
      <c r="AD84" s="23"/>
      <c r="AE84" s="23"/>
      <c r="AF84" s="23"/>
      <c r="AG84" s="23"/>
      <c r="AH84" s="23"/>
      <c r="AI84" s="23"/>
      <c r="AJ84" s="23"/>
      <c r="AK84" s="23"/>
      <c r="AL84" s="23"/>
      <c r="AM84" s="23"/>
      <c r="AN84" s="23"/>
      <c r="AO84" s="23"/>
    </row>
    <row r="85" spans="3:41" ht="17.25" customHeight="1" x14ac:dyDescent="0.2">
      <c r="C85" s="24"/>
      <c r="D85" s="24"/>
      <c r="E85" s="24"/>
      <c r="F85" s="24"/>
      <c r="G85" s="24"/>
      <c r="H85" s="24"/>
      <c r="I85" s="24"/>
      <c r="J85" s="24"/>
      <c r="AD85" s="23"/>
      <c r="AE85" s="23"/>
      <c r="AF85" s="23"/>
      <c r="AG85" s="23"/>
      <c r="AH85" s="23"/>
      <c r="AI85" s="23"/>
      <c r="AJ85" s="23"/>
      <c r="AK85" s="23"/>
      <c r="AL85" s="23"/>
      <c r="AM85" s="23"/>
      <c r="AN85" s="23"/>
      <c r="AO85" s="23"/>
    </row>
    <row r="86" spans="3:41" ht="17.25" customHeight="1" x14ac:dyDescent="0.2">
      <c r="C86" s="24"/>
      <c r="D86" s="24"/>
      <c r="E86" s="24"/>
      <c r="F86" s="24"/>
      <c r="G86" s="24"/>
      <c r="H86" s="24"/>
      <c r="I86" s="24"/>
      <c r="J86" s="24"/>
      <c r="AD86" s="23"/>
      <c r="AE86" s="23"/>
      <c r="AF86" s="23"/>
      <c r="AG86" s="23"/>
      <c r="AH86" s="23"/>
      <c r="AI86" s="23"/>
      <c r="AJ86" s="23"/>
      <c r="AK86" s="23"/>
      <c r="AL86" s="23"/>
      <c r="AM86" s="23"/>
      <c r="AN86" s="23"/>
      <c r="AO86" s="23"/>
    </row>
    <row r="87" spans="3:41" ht="17.25" customHeight="1" x14ac:dyDescent="0.2">
      <c r="C87" s="24"/>
      <c r="D87" s="24"/>
      <c r="E87" s="24"/>
      <c r="F87" s="24"/>
      <c r="G87" s="24"/>
      <c r="H87" s="24"/>
      <c r="I87" s="24"/>
      <c r="J87" s="24"/>
      <c r="AD87" s="23"/>
      <c r="AE87" s="23"/>
      <c r="AF87" s="23"/>
      <c r="AG87" s="23"/>
      <c r="AH87" s="23"/>
      <c r="AI87" s="23"/>
      <c r="AJ87" s="23"/>
      <c r="AK87" s="23"/>
      <c r="AL87" s="23"/>
      <c r="AM87" s="23"/>
      <c r="AN87" s="23"/>
      <c r="AO87" s="23"/>
    </row>
    <row r="88" spans="3:41" ht="17.25" customHeight="1" x14ac:dyDescent="0.2">
      <c r="C88" s="24"/>
      <c r="D88" s="24"/>
      <c r="E88" s="24"/>
      <c r="F88" s="24"/>
      <c r="G88" s="24"/>
      <c r="H88" s="24"/>
      <c r="I88" s="24"/>
      <c r="J88" s="24"/>
      <c r="AD88" s="23"/>
      <c r="AE88" s="23"/>
      <c r="AF88" s="23"/>
      <c r="AG88" s="23"/>
      <c r="AH88" s="23"/>
      <c r="AI88" s="23"/>
      <c r="AJ88" s="23"/>
      <c r="AK88" s="23"/>
      <c r="AL88" s="23"/>
      <c r="AM88" s="23"/>
      <c r="AN88" s="23"/>
      <c r="AO88" s="23"/>
    </row>
    <row r="89" spans="3:41" ht="17.25" customHeight="1" x14ac:dyDescent="0.2">
      <c r="C89" s="24"/>
      <c r="D89" s="24"/>
      <c r="E89" s="24"/>
      <c r="F89" s="24"/>
      <c r="G89" s="24"/>
      <c r="H89" s="24"/>
      <c r="I89" s="24"/>
      <c r="J89" s="24"/>
      <c r="AD89" s="23"/>
      <c r="AE89" s="23"/>
      <c r="AF89" s="23"/>
      <c r="AG89" s="23"/>
      <c r="AH89" s="23"/>
      <c r="AI89" s="23"/>
      <c r="AJ89" s="23"/>
      <c r="AK89" s="23"/>
      <c r="AL89" s="23"/>
      <c r="AM89" s="23"/>
      <c r="AN89" s="23"/>
      <c r="AO89" s="23"/>
    </row>
    <row r="90" spans="3:41" ht="17.25" customHeight="1" x14ac:dyDescent="0.2">
      <c r="C90" s="24"/>
      <c r="D90" s="24"/>
      <c r="E90" s="24"/>
      <c r="F90" s="24"/>
      <c r="G90" s="24"/>
      <c r="H90" s="24"/>
      <c r="I90" s="24"/>
      <c r="J90" s="24"/>
      <c r="AD90" s="23"/>
      <c r="AE90" s="23"/>
      <c r="AF90" s="23"/>
      <c r="AG90" s="23"/>
      <c r="AH90" s="23"/>
      <c r="AI90" s="23"/>
      <c r="AJ90" s="23"/>
      <c r="AK90" s="23"/>
      <c r="AL90" s="23"/>
      <c r="AM90" s="23"/>
      <c r="AN90" s="23"/>
      <c r="AO90" s="23"/>
    </row>
    <row r="91" spans="3:41" ht="17.25" customHeight="1" x14ac:dyDescent="0.2">
      <c r="C91" s="24"/>
      <c r="D91" s="24"/>
      <c r="E91" s="24"/>
      <c r="F91" s="24"/>
      <c r="G91" s="24"/>
      <c r="H91" s="24"/>
      <c r="I91" s="24"/>
      <c r="J91" s="24"/>
      <c r="AD91" s="23"/>
      <c r="AE91" s="23"/>
      <c r="AF91" s="23"/>
      <c r="AG91" s="23"/>
      <c r="AH91" s="23"/>
      <c r="AI91" s="23"/>
      <c r="AJ91" s="23"/>
      <c r="AK91" s="23"/>
      <c r="AL91" s="23"/>
      <c r="AM91" s="23"/>
      <c r="AN91" s="23"/>
      <c r="AO91" s="23"/>
    </row>
    <row r="92" spans="3:41" ht="17.25" customHeight="1" x14ac:dyDescent="0.2">
      <c r="C92" s="24"/>
      <c r="D92" s="24"/>
      <c r="E92" s="24"/>
      <c r="F92" s="24"/>
      <c r="G92" s="24"/>
      <c r="H92" s="24"/>
      <c r="I92" s="24"/>
      <c r="J92" s="24"/>
      <c r="AD92" s="23"/>
      <c r="AE92" s="23"/>
      <c r="AF92" s="23"/>
      <c r="AG92" s="23"/>
      <c r="AH92" s="23"/>
      <c r="AI92" s="23"/>
      <c r="AJ92" s="23"/>
      <c r="AK92" s="23"/>
      <c r="AL92" s="23"/>
      <c r="AM92" s="23"/>
      <c r="AN92" s="23"/>
      <c r="AO92" s="23"/>
    </row>
    <row r="93" spans="3:41" ht="17.25" customHeight="1" x14ac:dyDescent="0.2">
      <c r="C93" s="24"/>
      <c r="D93" s="24"/>
      <c r="E93" s="24"/>
      <c r="F93" s="24"/>
      <c r="G93" s="24"/>
      <c r="H93" s="24"/>
      <c r="I93" s="24"/>
      <c r="J93" s="24"/>
      <c r="AD93" s="23"/>
      <c r="AE93" s="23"/>
      <c r="AF93" s="23"/>
      <c r="AG93" s="23"/>
      <c r="AH93" s="23"/>
      <c r="AI93" s="23"/>
      <c r="AJ93" s="23"/>
      <c r="AK93" s="23"/>
      <c r="AL93" s="23"/>
      <c r="AM93" s="23"/>
      <c r="AN93" s="23"/>
      <c r="AO93" s="23"/>
    </row>
    <row r="94" spans="3:41" ht="17.25" customHeight="1" x14ac:dyDescent="0.2">
      <c r="C94" s="24"/>
      <c r="D94" s="24"/>
      <c r="E94" s="24"/>
      <c r="F94" s="24"/>
      <c r="G94" s="24"/>
      <c r="H94" s="24"/>
      <c r="I94" s="24"/>
      <c r="J94" s="24"/>
      <c r="AD94" s="23"/>
      <c r="AE94" s="23"/>
      <c r="AF94" s="23"/>
      <c r="AG94" s="23"/>
      <c r="AH94" s="23"/>
      <c r="AI94" s="23"/>
      <c r="AJ94" s="23"/>
      <c r="AK94" s="23"/>
      <c r="AL94" s="23"/>
      <c r="AM94" s="23"/>
      <c r="AN94" s="23"/>
      <c r="AO94" s="23"/>
    </row>
    <row r="95" spans="3:41" ht="17.25" customHeight="1" x14ac:dyDescent="0.2">
      <c r="C95" s="24"/>
      <c r="D95" s="24"/>
      <c r="E95" s="24"/>
      <c r="F95" s="24"/>
      <c r="G95" s="24"/>
      <c r="H95" s="24"/>
      <c r="I95" s="24"/>
      <c r="J95" s="24"/>
      <c r="AD95" s="23"/>
      <c r="AE95" s="23"/>
      <c r="AF95" s="23"/>
      <c r="AG95" s="23"/>
      <c r="AH95" s="23"/>
      <c r="AI95" s="23"/>
      <c r="AJ95" s="23"/>
      <c r="AK95" s="23"/>
      <c r="AL95" s="23"/>
      <c r="AM95" s="23"/>
      <c r="AN95" s="23"/>
      <c r="AO95" s="23"/>
    </row>
    <row r="96" spans="3:41" ht="17.25" customHeight="1" x14ac:dyDescent="0.2">
      <c r="C96" s="24"/>
      <c r="D96" s="24"/>
      <c r="E96" s="24"/>
      <c r="F96" s="24"/>
      <c r="G96" s="24"/>
      <c r="H96" s="24"/>
      <c r="I96" s="24"/>
      <c r="J96" s="24"/>
      <c r="AD96" s="23"/>
      <c r="AE96" s="23"/>
      <c r="AF96" s="23"/>
      <c r="AG96" s="23"/>
      <c r="AH96" s="23"/>
      <c r="AI96" s="23"/>
      <c r="AJ96" s="23"/>
      <c r="AK96" s="23"/>
      <c r="AL96" s="23"/>
      <c r="AM96" s="23"/>
      <c r="AN96" s="23"/>
      <c r="AO96" s="23"/>
    </row>
    <row r="97" spans="3:41" ht="17.25" customHeight="1" x14ac:dyDescent="0.2">
      <c r="C97" s="24"/>
      <c r="D97" s="24"/>
      <c r="E97" s="24"/>
      <c r="F97" s="24"/>
      <c r="G97" s="24"/>
      <c r="H97" s="24"/>
      <c r="I97" s="24"/>
      <c r="J97" s="24"/>
      <c r="AD97" s="23"/>
      <c r="AE97" s="23"/>
      <c r="AF97" s="23"/>
      <c r="AG97" s="23"/>
      <c r="AH97" s="23"/>
      <c r="AI97" s="23"/>
      <c r="AJ97" s="23"/>
      <c r="AK97" s="23"/>
      <c r="AL97" s="23"/>
      <c r="AM97" s="23"/>
      <c r="AN97" s="23"/>
      <c r="AO97" s="23"/>
    </row>
    <row r="98" spans="3:41" ht="17.25" customHeight="1" x14ac:dyDescent="0.2">
      <c r="C98" s="24"/>
      <c r="D98" s="24"/>
      <c r="E98" s="24"/>
      <c r="F98" s="24"/>
      <c r="G98" s="24"/>
      <c r="H98" s="24"/>
      <c r="I98" s="24"/>
      <c r="J98" s="24"/>
      <c r="AD98" s="23"/>
      <c r="AE98" s="23"/>
      <c r="AF98" s="23"/>
      <c r="AG98" s="23"/>
      <c r="AH98" s="23"/>
      <c r="AI98" s="23"/>
      <c r="AJ98" s="23"/>
      <c r="AK98" s="23"/>
      <c r="AL98" s="23"/>
      <c r="AM98" s="23"/>
      <c r="AN98" s="23"/>
      <c r="AO98" s="23"/>
    </row>
    <row r="99" spans="3:41" ht="17.25" customHeight="1" x14ac:dyDescent="0.2">
      <c r="C99" s="24"/>
      <c r="D99" s="24"/>
      <c r="E99" s="24"/>
      <c r="F99" s="24"/>
      <c r="G99" s="24"/>
      <c r="H99" s="24"/>
      <c r="I99" s="24"/>
      <c r="J99" s="24"/>
      <c r="AD99" s="23"/>
      <c r="AE99" s="23"/>
      <c r="AF99" s="23"/>
      <c r="AG99" s="23"/>
      <c r="AH99" s="23"/>
      <c r="AI99" s="23"/>
      <c r="AJ99" s="23"/>
      <c r="AK99" s="23"/>
      <c r="AL99" s="23"/>
      <c r="AM99" s="23"/>
      <c r="AN99" s="23"/>
      <c r="AO99" s="23"/>
    </row>
  </sheetData>
  <sheetProtection sheet="1" scenarios="1" formatColumns="0"/>
  <dataValidations count="1">
    <dataValidation errorStyle="warning" allowBlank="1" showInputMessage="1" showErrorMessage="1" error="This cell needs to be greater than zero!" prompt="Cash needs to be greater than $0." sqref="J10" xr:uid="{00000000-0002-0000-0600-000000000000}"/>
  </dataValidations>
  <pageMargins left="0.25" right="0.25" top="0.5" bottom="0.5" header="0.5" footer="0.5"/>
  <pageSetup scale="54" orientation="landscape" horizontalDpi="4294967293" verticalDpi="4294967293"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1000000}">
          <x14:formula1>
            <xm:f>'Price Inputs'!$E$19:$J$19</xm:f>
          </x14:formula1>
          <xm:sqref>E5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8000"/>
  </sheetPr>
  <dimension ref="A1:X213"/>
  <sheetViews>
    <sheetView showGridLines="0" topLeftCell="A19" zoomScale="62" zoomScaleNormal="62" zoomScaleSheetLayoutView="80" workbookViewId="0">
      <selection activeCell="M10" sqref="M10"/>
    </sheetView>
  </sheetViews>
  <sheetFormatPr baseColWidth="10" defaultColWidth="9.1640625" defaultRowHeight="17.25" customHeight="1" x14ac:dyDescent="0.2"/>
  <cols>
    <col min="1" max="1" width="4.6640625" style="45" customWidth="1"/>
    <col min="2" max="2" width="4.83203125" style="45" customWidth="1"/>
    <col min="3" max="3" width="14.83203125" style="45" customWidth="1"/>
    <col min="4" max="4" width="36.6640625" style="45" bestFit="1" customWidth="1"/>
    <col min="5" max="13" width="20.1640625" style="45" customWidth="1"/>
    <col min="14" max="14" width="15.5" style="45" customWidth="1"/>
    <col min="15" max="15" width="20.5" style="45" customWidth="1"/>
    <col min="16" max="16" width="30.1640625" style="45" bestFit="1" customWidth="1"/>
    <col min="17" max="17" width="14.83203125" style="46" bestFit="1" customWidth="1"/>
    <col min="18" max="18" width="23.5" style="45" bestFit="1" customWidth="1"/>
    <col min="19" max="19" width="17.33203125" style="46" bestFit="1" customWidth="1"/>
    <col min="20" max="20" width="24.6640625" style="36" bestFit="1" customWidth="1"/>
    <col min="21" max="21" width="17" style="36" bestFit="1" customWidth="1"/>
    <col min="22" max="22" width="24.5" style="36" bestFit="1" customWidth="1"/>
    <col min="23" max="16384" width="9.1640625" style="45"/>
  </cols>
  <sheetData>
    <row r="1" spans="1:24" ht="23.25" customHeight="1" x14ac:dyDescent="0.25">
      <c r="A1" s="598" t="s">
        <v>364</v>
      </c>
    </row>
    <row r="2" spans="1:24" ht="17.25" customHeight="1" x14ac:dyDescent="0.2">
      <c r="D2" s="317" t="s">
        <v>354</v>
      </c>
      <c r="E2" s="564" t="s">
        <v>319</v>
      </c>
    </row>
    <row r="3" spans="1:24" ht="17.25" customHeight="1" x14ac:dyDescent="0.2">
      <c r="E3" s="409">
        <f>HLOOKUP('Port Returns'!E2,'Portfolio Bucket'!$D$1:$I$2,2)</f>
        <v>44295</v>
      </c>
      <c r="J3" s="447"/>
    </row>
    <row r="4" spans="1:24" ht="17.25" hidden="1" customHeight="1" x14ac:dyDescent="0.2"/>
    <row r="5" spans="1:24" ht="17.25" hidden="1" customHeight="1" x14ac:dyDescent="0.2"/>
    <row r="6" spans="1:24" ht="26" x14ac:dyDescent="0.3">
      <c r="C6" s="318" t="s">
        <v>435</v>
      </c>
      <c r="D6" s="319"/>
      <c r="E6" s="319"/>
      <c r="F6" s="319"/>
      <c r="G6" s="319"/>
      <c r="H6" s="320"/>
      <c r="I6" s="319"/>
      <c r="J6" s="397"/>
      <c r="K6" s="28"/>
    </row>
    <row r="7" spans="1:24" ht="17.25" customHeight="1" x14ac:dyDescent="0.25">
      <c r="C7" s="391" t="s">
        <v>170</v>
      </c>
      <c r="D7" s="392"/>
      <c r="E7" s="393">
        <f>SUM(K9:K39)</f>
        <v>1031468.11</v>
      </c>
      <c r="F7" s="393"/>
      <c r="G7" s="394"/>
      <c r="H7" s="394"/>
      <c r="I7" s="395"/>
      <c r="J7" s="395"/>
      <c r="K7" s="445" t="s">
        <v>163</v>
      </c>
      <c r="L7" s="446"/>
      <c r="M7" s="448">
        <f>(E7)/(Initial_Cash+Extra_Cash)-1</f>
        <v>3.1468110000000049E-2</v>
      </c>
    </row>
    <row r="8" spans="1:24" s="430" customFormat="1" ht="46.5" customHeight="1" x14ac:dyDescent="0.2">
      <c r="C8" s="178" t="s">
        <v>0</v>
      </c>
      <c r="D8" s="49" t="s">
        <v>1</v>
      </c>
      <c r="E8" s="49" t="s">
        <v>408</v>
      </c>
      <c r="F8" s="49" t="s">
        <v>32</v>
      </c>
      <c r="G8" s="51" t="s">
        <v>153</v>
      </c>
      <c r="H8" s="51" t="s">
        <v>454</v>
      </c>
      <c r="I8" s="51" t="s">
        <v>468</v>
      </c>
      <c r="J8" s="51" t="s">
        <v>469</v>
      </c>
      <c r="K8" s="49" t="s">
        <v>155</v>
      </c>
      <c r="L8" s="470" t="s">
        <v>458</v>
      </c>
      <c r="M8" s="471" t="s">
        <v>186</v>
      </c>
      <c r="Q8" s="419"/>
      <c r="S8" s="419"/>
      <c r="T8" s="472"/>
      <c r="U8" s="472"/>
      <c r="V8" s="472"/>
      <c r="W8" s="472"/>
      <c r="X8" s="472"/>
    </row>
    <row r="9" spans="1:24" s="430" customFormat="1" ht="17.25" customHeight="1" x14ac:dyDescent="0.2">
      <c r="C9" s="473"/>
      <c r="D9" s="474" t="s">
        <v>149</v>
      </c>
      <c r="E9" s="474"/>
      <c r="F9" s="474" t="s">
        <v>149</v>
      </c>
      <c r="G9" s="475"/>
      <c r="H9" s="475"/>
      <c r="I9" s="474"/>
      <c r="J9" s="474"/>
      <c r="K9" s="518">
        <f>Initial_Cash+Extra_Cash+SUMIFS(Trades!$O$9:$O$17,Trades!$K$9:$K$17,"&lt;="&amp;HLOOKUP(E2,'Portfolio Bucket'!$D$1:$I$2,2,FALSE))+SUMIFS(Trades!$O$32:$O$59,Trades!$K$32:$K$59,"&lt;="&amp;HLOOKUP(E2,'Portfolio Bucket'!$D$1:$I$2,2,FALSE))+SUMIFS(Trades!$O$32:$O$59,Trades!$M$32:$M$59,"&lt;="&amp;HLOOKUP(E2,'Portfolio Bucket'!$D$1:$I$2,2,FALSE))</f>
        <v>10025.549999999988</v>
      </c>
      <c r="L9" s="524"/>
      <c r="M9" s="476"/>
      <c r="Q9" s="419"/>
      <c r="S9" s="419"/>
      <c r="T9" s="472"/>
      <c r="U9" s="472"/>
      <c r="V9" s="472"/>
      <c r="W9" s="472"/>
      <c r="X9" s="472"/>
    </row>
    <row r="10" spans="1:24" ht="17.25" customHeight="1" x14ac:dyDescent="0.2">
      <c r="C10" s="477" t="str">
        <f>IF('Current Portfolio'!C11="","",'Current Portfolio'!C11)</f>
        <v>BWX</v>
      </c>
      <c r="D10" s="478" t="str">
        <f>IF(C10="","",VLOOKUP(C10,'ETF List'!$C$1:$J$200,3,0))</f>
        <v>SPDR BBG Barclays Intl Treasury</v>
      </c>
      <c r="E10" s="479" t="str">
        <f>IF(C10="","",IF(ISERROR(VLOOKUP(C10,'Policy Portfolio'!$H$21:$H$29,1,FALSE)),"Tactical","Policy"))</f>
        <v>Policy</v>
      </c>
      <c r="F10" s="480" t="str">
        <f>IF(C10="","",VLOOKUP(C10,'ETF List'!$C$1:$J$200,4,0))</f>
        <v>Bonds</v>
      </c>
      <c r="G10" s="481">
        <f>IF(C10="","",INDEX('Portfolio Bucket'!$C$2:$I$69,MATCH(C10,'Portfolio Bucket'!$C$2:$C$69,0),MATCH($E$2,'Portfolio Bucket'!$C$1:$I$1,0)))</f>
        <v>10132</v>
      </c>
      <c r="H10" s="482">
        <f>IF(C10="","",VLOOKUP(C10,'Portfolio Bucket'!$N$3:$Q$69,4,FALSE))</f>
        <v>29.610000000000003</v>
      </c>
      <c r="I10" s="483">
        <f t="shared" ref="I10:I39" si="0">IF(C10="","",G10*H10)</f>
        <v>300008.52</v>
      </c>
      <c r="J10" s="482">
        <f>IF(C10="","",IF(INDEX('Price Inputs'!$C$5:$J$49,MATCH('Port Returns'!C10,'Price Inputs'!$C$5:$C$49,0),MATCH($E$2,'Price Inputs'!$C$5:$J$5,0))=0,VLOOKUP(C10,Trades!$C$9:$O$59,8,FALSE),INDEX('Price Inputs'!$C$5:$J$49,MATCH('Port Returns'!C10,'Price Inputs'!$C$5:$C$49,0),MATCH($E$2,'Price Inputs'!$C$5:$J$5,0))))</f>
        <v>29.55</v>
      </c>
      <c r="K10" s="519">
        <f t="shared" ref="K10:K39" si="1">IF(C10="","",G10*J10)</f>
        <v>299400.60000000003</v>
      </c>
      <c r="L10" s="522">
        <f t="shared" ref="L10:L39" si="2">IF(C10="","",K10-I10)</f>
        <v>-607.9199999999837</v>
      </c>
      <c r="M10" s="484">
        <f>IF(OR(C10="",I10=0),"",L10/I10)</f>
        <v>-2.0263424518743123E-3</v>
      </c>
      <c r="W10" s="36"/>
      <c r="X10" s="36"/>
    </row>
    <row r="11" spans="1:24" ht="17.25" customHeight="1" x14ac:dyDescent="0.2">
      <c r="C11" s="485" t="str">
        <f>IF('Current Portfolio'!C12="","",'Current Portfolio'!C12)</f>
        <v>EZU</v>
      </c>
      <c r="D11" s="486" t="str">
        <f>IF(C11="","",VLOOKUP(C11,'ETF List'!$C$1:$J$200,3,0))</f>
        <v xml:space="preserve">iShares Eurozone </v>
      </c>
      <c r="E11" s="487" t="str">
        <f>IF(C11="","",IF(ISERROR(VLOOKUP(C11,'Policy Portfolio'!$H$21:$H$29,1,FALSE)),"Tactical","Policy"))</f>
        <v>Tactical</v>
      </c>
      <c r="F11" s="323" t="str">
        <f>IF(C11="","",VLOOKUP(C11,'ETF List'!$C$1:$J$200,4,0))</f>
        <v>Intl Equity</v>
      </c>
      <c r="G11" s="488">
        <f>IF(C11="","",INDEX('Portfolio Bucket'!$C$2:$I$69,MATCH(C11,'Portfolio Bucket'!$C$2:$C$69,0),MATCH($E$2,'Portfolio Bucket'!$C$1:$I$1,0)))</f>
        <v>4231</v>
      </c>
      <c r="H11" s="489">
        <f>IF(C11="","",VLOOKUP(C11,'Portfolio Bucket'!$N$3:$Q$69,4,FALSE))</f>
        <v>46.8</v>
      </c>
      <c r="I11" s="490">
        <f t="shared" si="0"/>
        <v>198010.8</v>
      </c>
      <c r="J11" s="489">
        <f>IF(C11="","",IF(INDEX('Price Inputs'!$C$5:$J$49,MATCH('Port Returns'!C11,'Price Inputs'!$C$5:$C$49,0),MATCH($E$2,'Price Inputs'!$C$5:$J$5,0))=0,VLOOKUP(C11,Trades!$C$9:$O$59,8,FALSE),INDEX('Price Inputs'!$C$5:$J$49,MATCH('Port Returns'!C11,'Price Inputs'!$C$5:$C$49,0),MATCH($E$2,'Price Inputs'!$C$5:$J$5,0))))</f>
        <v>47.93</v>
      </c>
      <c r="K11" s="520">
        <f t="shared" si="1"/>
        <v>202791.83</v>
      </c>
      <c r="L11" s="522">
        <f t="shared" si="2"/>
        <v>4781.0299999999988</v>
      </c>
      <c r="M11" s="491">
        <f t="shared" ref="M11:M39" si="3">IF(OR(C11="",I11=0),"",L11/I11)</f>
        <v>2.4145299145299139E-2</v>
      </c>
      <c r="W11" s="36"/>
      <c r="X11" s="36"/>
    </row>
    <row r="12" spans="1:24" ht="17.25" customHeight="1" x14ac:dyDescent="0.2">
      <c r="C12" s="485" t="str">
        <f>IF('Current Portfolio'!C13="","",'Current Portfolio'!C13)</f>
        <v>IAU</v>
      </c>
      <c r="D12" s="486" t="str">
        <f>IF(C12="","",VLOOKUP(C12,'ETF List'!$C$1:$J$200,3,0))</f>
        <v>iShares Gold Trust</v>
      </c>
      <c r="E12" s="487" t="str">
        <f>IF(C12="","",IF(ISERROR(VLOOKUP(C12,'Policy Portfolio'!$H$21:$H$29,1,FALSE)),"Tactical","Policy"))</f>
        <v>Policy</v>
      </c>
      <c r="F12" s="323" t="str">
        <f>IF(C12="","",VLOOKUP(C12,'ETF List'!$C$1:$J$200,4,0))</f>
        <v>Alternatives</v>
      </c>
      <c r="G12" s="488">
        <f>IF(C12="","",INDEX('Portfolio Bucket'!$C$2:$I$69,MATCH(C12,'Portfolio Bucket'!$C$2:$C$69,0),MATCH($E$2,'Portfolio Bucket'!$C$1:$I$1,0)))</f>
        <v>21014</v>
      </c>
      <c r="H12" s="489">
        <f>IF(C12="","",VLOOKUP(C12,'Portfolio Bucket'!$N$3:$Q$69,4,FALSE))</f>
        <v>16.18</v>
      </c>
      <c r="I12" s="490">
        <f t="shared" si="0"/>
        <v>340006.52</v>
      </c>
      <c r="J12" s="489">
        <f>IF(C12="","",IF(INDEX('Price Inputs'!$C$5:$J$49,MATCH('Port Returns'!C12,'Price Inputs'!$C$5:$C$49,0),MATCH($E$2,'Price Inputs'!$C$5:$J$5,0))=0,VLOOKUP(C12,Trades!$C$9:$O$59,8,FALSE),INDEX('Price Inputs'!$C$5:$J$49,MATCH('Port Returns'!C12,'Price Inputs'!$C$5:$C$49,0),MATCH($E$2,'Price Inputs'!$C$5:$J$5,0))))</f>
        <v>16.61</v>
      </c>
      <c r="K12" s="520">
        <f t="shared" si="1"/>
        <v>349042.54</v>
      </c>
      <c r="L12" s="522">
        <f t="shared" si="2"/>
        <v>9036.0199999999604</v>
      </c>
      <c r="M12" s="491">
        <f t="shared" si="3"/>
        <v>2.6576019777502971E-2</v>
      </c>
      <c r="W12" s="36"/>
      <c r="X12" s="36"/>
    </row>
    <row r="13" spans="1:24" ht="17.25" customHeight="1" x14ac:dyDescent="0.2">
      <c r="C13" s="485" t="str">
        <f>IF('Current Portfolio'!C14="","",'Current Portfolio'!C14)</f>
        <v>VTI</v>
      </c>
      <c r="D13" s="486" t="str">
        <f>IF(C13="","",VLOOKUP(C13,'ETF List'!$C$1:$J$200,3,0))</f>
        <v xml:space="preserve">Vanguard Total Stock Mrkt </v>
      </c>
      <c r="E13" s="487" t="str">
        <f>IF(C13="","",IF(ISERROR(VLOOKUP(C13,'Policy Portfolio'!$H$21:$H$29,1,FALSE)),"Tactical","Policy"))</f>
        <v>Policy</v>
      </c>
      <c r="F13" s="323" t="str">
        <f>IF(C13="","",VLOOKUP(C13,'ETF List'!$C$1:$J$200,4,0))</f>
        <v>US Equity</v>
      </c>
      <c r="G13" s="488">
        <f>IF(C13="","",INDEX('Portfolio Bucket'!$C$2:$I$69,MATCH(C13,'Portfolio Bucket'!$C$2:$C$69,0),MATCH($E$2,'Portfolio Bucket'!$C$1:$I$1,0)))</f>
        <v>1633</v>
      </c>
      <c r="H13" s="489">
        <f>IF(C13="","",VLOOKUP(C13,'Portfolio Bucket'!$N$3:$Q$69,4,FALSE))</f>
        <v>97.67</v>
      </c>
      <c r="I13" s="490">
        <f t="shared" si="0"/>
        <v>159495.11000000002</v>
      </c>
      <c r="J13" s="489">
        <f>IF(C13="","",IF(INDEX('Price Inputs'!$C$5:$J$49,MATCH('Port Returns'!C13,'Price Inputs'!$C$5:$C$49,0),MATCH($E$2,'Price Inputs'!$C$5:$J$5,0))=0,VLOOKUP(C13,Trades!$C$9:$O$59,8,FALSE),INDEX('Price Inputs'!$C$5:$J$49,MATCH('Port Returns'!C13,'Price Inputs'!$C$5:$C$49,0),MATCH($E$2,'Price Inputs'!$C$5:$J$5,0))))</f>
        <v>104.23</v>
      </c>
      <c r="K13" s="520">
        <f t="shared" si="1"/>
        <v>170207.59</v>
      </c>
      <c r="L13" s="522">
        <f t="shared" si="2"/>
        <v>10712.479999999981</v>
      </c>
      <c r="M13" s="491">
        <f t="shared" si="3"/>
        <v>6.7164943176000691E-2</v>
      </c>
      <c r="W13" s="36"/>
      <c r="X13" s="36"/>
    </row>
    <row r="14" spans="1:24" ht="17.25" customHeight="1" x14ac:dyDescent="0.2">
      <c r="C14" s="485" t="str">
        <f>IF('Current Portfolio'!C15="","",'Current Portfolio'!C15)</f>
        <v/>
      </c>
      <c r="D14" s="486" t="str">
        <f>IF(C14="","",VLOOKUP(C14,'ETF List'!$C$1:$J$200,3,0))</f>
        <v/>
      </c>
      <c r="E14" s="487" t="str">
        <f>IF(C14="","",IF(ISERROR(VLOOKUP(C14,'Policy Portfolio'!$H$21:$H$29,1,FALSE)),"Tactical","Policy"))</f>
        <v/>
      </c>
      <c r="F14" s="323" t="str">
        <f>IF(C14="","",VLOOKUP(C14,'ETF List'!$C$1:$J$200,4,0))</f>
        <v/>
      </c>
      <c r="G14" s="488" t="str">
        <f>IF(C14="","",INDEX('Portfolio Bucket'!$C$2:$I$69,MATCH(C14,'Portfolio Bucket'!$C$2:$C$69,0),MATCH($E$2,'Portfolio Bucket'!$C$1:$I$1,0)))</f>
        <v/>
      </c>
      <c r="H14" s="489" t="str">
        <f>IF(C14="","",VLOOKUP(C14,'Portfolio Bucket'!$N$3:$Q$69,4,FALSE))</f>
        <v/>
      </c>
      <c r="I14" s="490" t="str">
        <f t="shared" si="0"/>
        <v/>
      </c>
      <c r="J14" s="489" t="str">
        <f>IF(C14="","",IF(INDEX('Price Inputs'!$C$5:$J$49,MATCH('Port Returns'!C14,'Price Inputs'!$C$5:$C$49,0),MATCH($E$2,'Price Inputs'!$C$5:$J$5,0))=0,VLOOKUP(C14,Trades!$C$9:$O$59,8,FALSE),INDEX('Price Inputs'!$C$5:$J$49,MATCH('Port Returns'!C14,'Price Inputs'!$C$5:$C$49,0),MATCH($E$2,'Price Inputs'!$C$5:$J$5,0))))</f>
        <v/>
      </c>
      <c r="K14" s="520" t="str">
        <f t="shared" si="1"/>
        <v/>
      </c>
      <c r="L14" s="522" t="str">
        <f t="shared" si="2"/>
        <v/>
      </c>
      <c r="M14" s="491" t="str">
        <f t="shared" si="3"/>
        <v/>
      </c>
      <c r="W14" s="36"/>
      <c r="X14" s="36"/>
    </row>
    <row r="15" spans="1:24" ht="17.25" customHeight="1" x14ac:dyDescent="0.2">
      <c r="C15" s="485" t="str">
        <f>IF('Current Portfolio'!C16="","",'Current Portfolio'!C16)</f>
        <v/>
      </c>
      <c r="D15" s="486" t="str">
        <f>IF(C15="","",VLOOKUP(C15,'ETF List'!$C$1:$J$200,3,0))</f>
        <v/>
      </c>
      <c r="E15" s="487" t="str">
        <f>IF(C15="","",IF(ISERROR(VLOOKUP(C15,'Policy Portfolio'!$H$21:$H$29,1,FALSE)),"Tactical","Policy"))</f>
        <v/>
      </c>
      <c r="F15" s="323" t="str">
        <f>IF(C15="","",VLOOKUP(C15,'ETF List'!$C$1:$J$200,4,0))</f>
        <v/>
      </c>
      <c r="G15" s="488" t="str">
        <f>IF(C15="","",INDEX('Portfolio Bucket'!$C$2:$I$69,MATCH(C15,'Portfolio Bucket'!$C$2:$C$69,0),MATCH($E$2,'Portfolio Bucket'!$C$1:$I$1,0)))</f>
        <v/>
      </c>
      <c r="H15" s="489" t="str">
        <f>IF(C15="","",VLOOKUP(C15,'Portfolio Bucket'!$N$3:$Q$69,4,FALSE))</f>
        <v/>
      </c>
      <c r="I15" s="490" t="str">
        <f t="shared" si="0"/>
        <v/>
      </c>
      <c r="J15" s="489" t="str">
        <f>IF(C15="","",IF(INDEX('Price Inputs'!$C$5:$J$49,MATCH('Port Returns'!C15,'Price Inputs'!$C$5:$C$49,0),MATCH($E$2,'Price Inputs'!$C$5:$J$5,0))=0,VLOOKUP(C15,Trades!$C$9:$O$59,8,FALSE),INDEX('Price Inputs'!$C$5:$J$49,MATCH('Port Returns'!C15,'Price Inputs'!$C$5:$C$49,0),MATCH($E$2,'Price Inputs'!$C$5:$J$5,0))))</f>
        <v/>
      </c>
      <c r="K15" s="520" t="str">
        <f t="shared" si="1"/>
        <v/>
      </c>
      <c r="L15" s="522" t="str">
        <f t="shared" si="2"/>
        <v/>
      </c>
      <c r="M15" s="491" t="str">
        <f t="shared" si="3"/>
        <v/>
      </c>
      <c r="W15" s="36"/>
      <c r="X15" s="36"/>
    </row>
    <row r="16" spans="1:24" ht="17.25" customHeight="1" x14ac:dyDescent="0.2">
      <c r="C16" s="485" t="str">
        <f>IF('Current Portfolio'!C17="","",'Current Portfolio'!C17)</f>
        <v/>
      </c>
      <c r="D16" s="486" t="str">
        <f>IF(C16="","",VLOOKUP(C16,'ETF List'!$C$1:$J$200,3,0))</f>
        <v/>
      </c>
      <c r="E16" s="487" t="str">
        <f>IF(C16="","",IF(ISERROR(VLOOKUP(C16,'Policy Portfolio'!$H$21:$H$29,1,FALSE)),"Tactical","Policy"))</f>
        <v/>
      </c>
      <c r="F16" s="323" t="str">
        <f>IF(C16="","",VLOOKUP(C16,'ETF List'!$C$1:$J$200,4,0))</f>
        <v/>
      </c>
      <c r="G16" s="488" t="str">
        <f>IF(C16="","",INDEX('Portfolio Bucket'!$C$2:$I$69,MATCH(C16,'Portfolio Bucket'!$C$2:$C$69,0),MATCH($E$2,'Portfolio Bucket'!$C$1:$I$1,0)))</f>
        <v/>
      </c>
      <c r="H16" s="489" t="str">
        <f>IF(C16="","",VLOOKUP(C16,'Portfolio Bucket'!$N$3:$Q$69,4,FALSE))</f>
        <v/>
      </c>
      <c r="I16" s="490" t="str">
        <f t="shared" si="0"/>
        <v/>
      </c>
      <c r="J16" s="489" t="str">
        <f>IF(C16="","",IF(INDEX('Price Inputs'!$C$5:$J$49,MATCH('Port Returns'!C16,'Price Inputs'!$C$5:$C$49,0),MATCH($E$2,'Price Inputs'!$C$5:$J$5,0))=0,VLOOKUP(C16,Trades!$C$9:$O$59,8,FALSE),INDEX('Price Inputs'!$C$5:$J$49,MATCH('Port Returns'!C16,'Price Inputs'!$C$5:$C$49,0),MATCH($E$2,'Price Inputs'!$C$5:$J$5,0))))</f>
        <v/>
      </c>
      <c r="K16" s="520" t="str">
        <f t="shared" si="1"/>
        <v/>
      </c>
      <c r="L16" s="522" t="str">
        <f t="shared" si="2"/>
        <v/>
      </c>
      <c r="M16" s="491" t="str">
        <f t="shared" si="3"/>
        <v/>
      </c>
      <c r="W16" s="36"/>
      <c r="X16" s="36"/>
    </row>
    <row r="17" spans="3:24" ht="17.25" customHeight="1" x14ac:dyDescent="0.2">
      <c r="C17" s="485" t="str">
        <f>IF('Current Portfolio'!C18="","",'Current Portfolio'!C18)</f>
        <v/>
      </c>
      <c r="D17" s="486" t="str">
        <f>IF(C17="","",VLOOKUP(C17,'ETF List'!$C$1:$J$200,3,0))</f>
        <v/>
      </c>
      <c r="E17" s="487" t="str">
        <f>IF(C17="","",IF(ISERROR(VLOOKUP(C17,'Policy Portfolio'!$H$21:$H$29,1,FALSE)),"Tactical","Policy"))</f>
        <v/>
      </c>
      <c r="F17" s="323" t="str">
        <f>IF(C17="","",VLOOKUP(C17,'ETF List'!$C$1:$J$200,4,0))</f>
        <v/>
      </c>
      <c r="G17" s="488" t="str">
        <f>IF(C17="","",INDEX('Portfolio Bucket'!$C$2:$I$69,MATCH(C17,'Portfolio Bucket'!$C$2:$C$69,0),MATCH($E$2,'Portfolio Bucket'!$C$1:$I$1,0)))</f>
        <v/>
      </c>
      <c r="H17" s="489" t="str">
        <f>IF(C17="","",VLOOKUP(C17,'Portfolio Bucket'!$N$3:$Q$69,4,FALSE))</f>
        <v/>
      </c>
      <c r="I17" s="490" t="str">
        <f t="shared" si="0"/>
        <v/>
      </c>
      <c r="J17" s="489" t="str">
        <f>IF(C17="","",IF(INDEX('Price Inputs'!$C$5:$J$49,MATCH('Port Returns'!C17,'Price Inputs'!$C$5:$C$49,0),MATCH($E$2,'Price Inputs'!$C$5:$J$5,0))=0,VLOOKUP(C17,Trades!$C$9:$O$59,8,FALSE),INDEX('Price Inputs'!$C$5:$J$49,MATCH('Port Returns'!C17,'Price Inputs'!$C$5:$C$49,0),MATCH($E$2,'Price Inputs'!$C$5:$J$5,0))))</f>
        <v/>
      </c>
      <c r="K17" s="520" t="str">
        <f t="shared" si="1"/>
        <v/>
      </c>
      <c r="L17" s="522" t="str">
        <f t="shared" si="2"/>
        <v/>
      </c>
      <c r="M17" s="491" t="str">
        <f t="shared" si="3"/>
        <v/>
      </c>
      <c r="W17" s="36"/>
      <c r="X17" s="36"/>
    </row>
    <row r="18" spans="3:24" ht="17.25" customHeight="1" x14ac:dyDescent="0.2">
      <c r="C18" s="485" t="str">
        <f>IF('Current Portfolio'!C19="","",'Current Portfolio'!C19)</f>
        <v/>
      </c>
      <c r="D18" s="486" t="str">
        <f>IF(C18="","",VLOOKUP(C18,'ETF List'!$C$1:$J$200,3,0))</f>
        <v/>
      </c>
      <c r="E18" s="487" t="str">
        <f>IF(C18="","",IF(ISERROR(VLOOKUP(C18,'Policy Portfolio'!$H$21:$H$29,1,FALSE)),"Tactical","Policy"))</f>
        <v/>
      </c>
      <c r="F18" s="323" t="str">
        <f>IF(C18="","",VLOOKUP(C18,'ETF List'!$C$1:$J$200,4,0))</f>
        <v/>
      </c>
      <c r="G18" s="488" t="str">
        <f>IF(C18="","",INDEX('Portfolio Bucket'!$C$2:$I$69,MATCH(C18,'Portfolio Bucket'!$C$2:$C$69,0),MATCH($E$2,'Portfolio Bucket'!$C$1:$I$1,0)))</f>
        <v/>
      </c>
      <c r="H18" s="489" t="str">
        <f>IF(C18="","",VLOOKUP(C18,'Portfolio Bucket'!$N$3:$Q$69,4,FALSE))</f>
        <v/>
      </c>
      <c r="I18" s="490" t="str">
        <f t="shared" si="0"/>
        <v/>
      </c>
      <c r="J18" s="489" t="str">
        <f>IF(C18="","",IF(INDEX('Price Inputs'!$C$5:$J$49,MATCH('Port Returns'!C18,'Price Inputs'!$C$5:$C$49,0),MATCH($E$2,'Price Inputs'!$C$5:$J$5,0))=0,VLOOKUP(C18,Trades!$C$9:$O$59,8,FALSE),INDEX('Price Inputs'!$C$5:$J$49,MATCH('Port Returns'!C18,'Price Inputs'!$C$5:$C$49,0),MATCH($E$2,'Price Inputs'!$C$5:$J$5,0))))</f>
        <v/>
      </c>
      <c r="K18" s="520" t="str">
        <f t="shared" si="1"/>
        <v/>
      </c>
      <c r="L18" s="522" t="str">
        <f t="shared" si="2"/>
        <v/>
      </c>
      <c r="M18" s="491" t="str">
        <f t="shared" si="3"/>
        <v/>
      </c>
      <c r="W18" s="36"/>
      <c r="X18" s="36"/>
    </row>
    <row r="19" spans="3:24" ht="17.25" customHeight="1" x14ac:dyDescent="0.2">
      <c r="C19" s="485" t="str">
        <f>IF('Current Portfolio'!C20="","",'Current Portfolio'!C20)</f>
        <v/>
      </c>
      <c r="D19" s="486" t="str">
        <f>IF(C19="","",VLOOKUP(C19,'ETF List'!$C$1:$J$200,3,0))</f>
        <v/>
      </c>
      <c r="E19" s="487" t="str">
        <f>IF(C19="","",IF(ISERROR(VLOOKUP(C19,'Policy Portfolio'!$H$21:$H$29,1,FALSE)),"Tactical","Policy"))</f>
        <v/>
      </c>
      <c r="F19" s="323" t="str">
        <f>IF(C19="","",VLOOKUP(C19,'ETF List'!$C$1:$J$200,4,0))</f>
        <v/>
      </c>
      <c r="G19" s="488" t="str">
        <f>IF(C19="","",INDEX('Portfolio Bucket'!$C$2:$I$69,MATCH(C19,'Portfolio Bucket'!$C$2:$C$69,0),MATCH($E$2,'Portfolio Bucket'!$C$1:$I$1,0)))</f>
        <v/>
      </c>
      <c r="H19" s="489" t="str">
        <f>IF(C19="","",VLOOKUP(C19,'Portfolio Bucket'!$N$3:$Q$69,4,FALSE))</f>
        <v/>
      </c>
      <c r="I19" s="490" t="str">
        <f t="shared" si="0"/>
        <v/>
      </c>
      <c r="J19" s="489" t="str">
        <f>IF(C19="","",IF(INDEX('Price Inputs'!$C$5:$J$49,MATCH('Port Returns'!C19,'Price Inputs'!$C$5:$C$49,0),MATCH($E$2,'Price Inputs'!$C$5:$J$5,0))=0,VLOOKUP(C19,Trades!$C$9:$O$59,8,FALSE),INDEX('Price Inputs'!$C$5:$J$49,MATCH('Port Returns'!C19,'Price Inputs'!$C$5:$C$49,0),MATCH($E$2,'Price Inputs'!$C$5:$J$5,0))))</f>
        <v/>
      </c>
      <c r="K19" s="520" t="str">
        <f t="shared" si="1"/>
        <v/>
      </c>
      <c r="L19" s="522" t="str">
        <f t="shared" si="2"/>
        <v/>
      </c>
      <c r="M19" s="491" t="str">
        <f t="shared" si="3"/>
        <v/>
      </c>
      <c r="W19" s="36"/>
      <c r="X19" s="36"/>
    </row>
    <row r="20" spans="3:24" ht="17.25" customHeight="1" x14ac:dyDescent="0.2">
      <c r="C20" s="485" t="str">
        <f>IF('Current Portfolio'!C21="","",'Current Portfolio'!C21)</f>
        <v/>
      </c>
      <c r="D20" s="486" t="str">
        <f>IF(C20="","",VLOOKUP(C20,'ETF List'!$C$1:$J$200,3,0))</f>
        <v/>
      </c>
      <c r="E20" s="487" t="str">
        <f>IF(C20="","",IF(ISERROR(VLOOKUP(C20,'Policy Portfolio'!$H$21:$H$29,1,FALSE)),"Tactical","Policy"))</f>
        <v/>
      </c>
      <c r="F20" s="323" t="str">
        <f>IF(C20="","",VLOOKUP(C20,'ETF List'!$C$1:$J$200,4,0))</f>
        <v/>
      </c>
      <c r="G20" s="488" t="str">
        <f>IF(C20="","",INDEX('Portfolio Bucket'!$C$2:$I$69,MATCH(C20,'Portfolio Bucket'!$C$2:$C$69,0),MATCH($E$2,'Portfolio Bucket'!$C$1:$I$1,0)))</f>
        <v/>
      </c>
      <c r="H20" s="489" t="str">
        <f>IF(C20="","",VLOOKUP(C20,'Portfolio Bucket'!$N$3:$Q$69,4,FALSE))</f>
        <v/>
      </c>
      <c r="I20" s="490" t="str">
        <f t="shared" si="0"/>
        <v/>
      </c>
      <c r="J20" s="489" t="str">
        <f>IF(C20="","",IF(INDEX('Price Inputs'!$C$5:$J$49,MATCH('Port Returns'!C20,'Price Inputs'!$C$5:$C$49,0),MATCH($E$2,'Price Inputs'!$C$5:$J$5,0))=0,VLOOKUP(C20,Trades!$C$9:$O$59,8,FALSE),INDEX('Price Inputs'!$C$5:$J$49,MATCH('Port Returns'!C20,'Price Inputs'!$C$5:$C$49,0),MATCH($E$2,'Price Inputs'!$C$5:$J$5,0))))</f>
        <v/>
      </c>
      <c r="K20" s="520" t="str">
        <f t="shared" si="1"/>
        <v/>
      </c>
      <c r="L20" s="522" t="str">
        <f t="shared" si="2"/>
        <v/>
      </c>
      <c r="M20" s="491" t="str">
        <f t="shared" si="3"/>
        <v/>
      </c>
      <c r="W20" s="36"/>
      <c r="X20" s="36"/>
    </row>
    <row r="21" spans="3:24" ht="17.25" customHeight="1" x14ac:dyDescent="0.2">
      <c r="C21" s="485" t="str">
        <f>IF('Current Portfolio'!C22="","",'Current Portfolio'!C22)</f>
        <v/>
      </c>
      <c r="D21" s="486" t="str">
        <f>IF(C21="","",VLOOKUP(C21,'ETF List'!$C$1:$J$200,3,0))</f>
        <v/>
      </c>
      <c r="E21" s="487" t="str">
        <f>IF(C21="","",IF(ISERROR(VLOOKUP(C21,'Policy Portfolio'!$H$21:$H$29,1,FALSE)),"Tactical","Policy"))</f>
        <v/>
      </c>
      <c r="F21" s="323" t="str">
        <f>IF(C21="","",VLOOKUP(C21,'ETF List'!$C$1:$J$200,4,0))</f>
        <v/>
      </c>
      <c r="G21" s="488" t="str">
        <f>IF(C21="","",INDEX('Portfolio Bucket'!$C$2:$I$69,MATCH(C21,'Portfolio Bucket'!$C$2:$C$69,0),MATCH($E$2,'Portfolio Bucket'!$C$1:$I$1,0)))</f>
        <v/>
      </c>
      <c r="H21" s="489" t="str">
        <f>IF(C21="","",VLOOKUP(C21,'Portfolio Bucket'!$N$3:$Q$69,4,FALSE))</f>
        <v/>
      </c>
      <c r="I21" s="490" t="str">
        <f t="shared" si="0"/>
        <v/>
      </c>
      <c r="J21" s="489" t="str">
        <f>IF(C21="","",IF(INDEX('Price Inputs'!$C$5:$J$49,MATCH('Port Returns'!C21,'Price Inputs'!$C$5:$C$49,0),MATCH($E$2,'Price Inputs'!$C$5:$J$5,0))=0,VLOOKUP(C21,Trades!$C$9:$O$59,8,FALSE),INDEX('Price Inputs'!$C$5:$J$49,MATCH('Port Returns'!C21,'Price Inputs'!$C$5:$C$49,0),MATCH($E$2,'Price Inputs'!$C$5:$J$5,0))))</f>
        <v/>
      </c>
      <c r="K21" s="520" t="str">
        <f t="shared" si="1"/>
        <v/>
      </c>
      <c r="L21" s="522" t="str">
        <f t="shared" si="2"/>
        <v/>
      </c>
      <c r="M21" s="491" t="str">
        <f t="shared" si="3"/>
        <v/>
      </c>
      <c r="W21" s="36"/>
      <c r="X21" s="36"/>
    </row>
    <row r="22" spans="3:24" ht="17.25" customHeight="1" x14ac:dyDescent="0.2">
      <c r="C22" s="485" t="str">
        <f>IF('Current Portfolio'!C23="","",'Current Portfolio'!C23)</f>
        <v/>
      </c>
      <c r="D22" s="486" t="str">
        <f>IF(C22="","",VLOOKUP(C22,'ETF List'!$C$1:$J$200,3,0))</f>
        <v/>
      </c>
      <c r="E22" s="487" t="str">
        <f>IF(C22="","",IF(ISERROR(VLOOKUP(C22,'Policy Portfolio'!$H$21:$H$29,1,FALSE)),"Tactical","Policy"))</f>
        <v/>
      </c>
      <c r="F22" s="323" t="str">
        <f>IF(C22="","",VLOOKUP(C22,'ETF List'!$C$1:$J$200,4,0))</f>
        <v/>
      </c>
      <c r="G22" s="488" t="str">
        <f>IF(C22="","",INDEX('Portfolio Bucket'!$C$2:$I$69,MATCH(C22,'Portfolio Bucket'!$C$2:$C$69,0),MATCH($E$2,'Portfolio Bucket'!$C$1:$I$1,0)))</f>
        <v/>
      </c>
      <c r="H22" s="489" t="str">
        <f>IF(C22="","",VLOOKUP(C22,'Portfolio Bucket'!$N$3:$Q$69,4,FALSE))</f>
        <v/>
      </c>
      <c r="I22" s="490" t="str">
        <f t="shared" si="0"/>
        <v/>
      </c>
      <c r="J22" s="489" t="str">
        <f>IF(C22="","",IF(INDEX('Price Inputs'!$C$5:$J$49,MATCH('Port Returns'!C22,'Price Inputs'!$C$5:$C$49,0),MATCH($E$2,'Price Inputs'!$C$5:$J$5,0))=0,VLOOKUP(C22,Trades!$C$9:$O$59,8,FALSE),INDEX('Price Inputs'!$C$5:$J$49,MATCH('Port Returns'!C22,'Price Inputs'!$C$5:$C$49,0),MATCH($E$2,'Price Inputs'!$C$5:$J$5,0))))</f>
        <v/>
      </c>
      <c r="K22" s="520" t="str">
        <f t="shared" si="1"/>
        <v/>
      </c>
      <c r="L22" s="522" t="str">
        <f t="shared" si="2"/>
        <v/>
      </c>
      <c r="M22" s="491" t="str">
        <f t="shared" si="3"/>
        <v/>
      </c>
      <c r="W22" s="36"/>
      <c r="X22" s="36"/>
    </row>
    <row r="23" spans="3:24" ht="17.25" customHeight="1" x14ac:dyDescent="0.2">
      <c r="C23" s="485" t="str">
        <f>IF('Current Portfolio'!C24="","",'Current Portfolio'!C24)</f>
        <v/>
      </c>
      <c r="D23" s="486" t="str">
        <f>IF(C23="","",VLOOKUP(C23,'ETF List'!$C$1:$J$200,3,0))</f>
        <v/>
      </c>
      <c r="E23" s="487" t="str">
        <f>IF(C23="","",IF(ISERROR(VLOOKUP(C23,'Policy Portfolio'!$H$21:$H$29,1,FALSE)),"Tactical","Policy"))</f>
        <v/>
      </c>
      <c r="F23" s="323" t="str">
        <f>IF(C23="","",VLOOKUP(C23,'ETF List'!$C$1:$J$200,4,0))</f>
        <v/>
      </c>
      <c r="G23" s="488" t="str">
        <f>IF(C23="","",INDEX('Portfolio Bucket'!$C$2:$I$69,MATCH(C23,'Portfolio Bucket'!$C$2:$C$69,0),MATCH($E$2,'Portfolio Bucket'!$C$1:$I$1,0)))</f>
        <v/>
      </c>
      <c r="H23" s="489" t="str">
        <f>IF(C23="","",VLOOKUP(C23,'Portfolio Bucket'!$N$3:$Q$69,4,FALSE))</f>
        <v/>
      </c>
      <c r="I23" s="490" t="str">
        <f t="shared" si="0"/>
        <v/>
      </c>
      <c r="J23" s="489" t="str">
        <f>IF(C23="","",IF(INDEX('Price Inputs'!$C$5:$J$49,MATCH('Port Returns'!C23,'Price Inputs'!$C$5:$C$49,0),MATCH($E$2,'Price Inputs'!$C$5:$J$5,0))=0,VLOOKUP(C23,Trades!$C$9:$O$59,8,FALSE),INDEX('Price Inputs'!$C$5:$J$49,MATCH('Port Returns'!C23,'Price Inputs'!$C$5:$C$49,0),MATCH($E$2,'Price Inputs'!$C$5:$J$5,0))))</f>
        <v/>
      </c>
      <c r="K23" s="520" t="str">
        <f t="shared" si="1"/>
        <v/>
      </c>
      <c r="L23" s="522" t="str">
        <f t="shared" si="2"/>
        <v/>
      </c>
      <c r="M23" s="491" t="str">
        <f t="shared" si="3"/>
        <v/>
      </c>
      <c r="W23" s="36"/>
      <c r="X23" s="36"/>
    </row>
    <row r="24" spans="3:24" ht="17.25" customHeight="1" x14ac:dyDescent="0.2">
      <c r="C24" s="485" t="str">
        <f>IF('Current Portfolio'!C25="","",'Current Portfolio'!C25)</f>
        <v/>
      </c>
      <c r="D24" s="486" t="str">
        <f>IF(C24="","",VLOOKUP(C24,'ETF List'!$C$1:$J$200,3,0))</f>
        <v/>
      </c>
      <c r="E24" s="487" t="str">
        <f>IF(C24="","",IF(ISERROR(VLOOKUP(C24,'Policy Portfolio'!$H$21:$H$29,1,FALSE)),"Tactical","Policy"))</f>
        <v/>
      </c>
      <c r="F24" s="323" t="str">
        <f>IF(C24="","",VLOOKUP(C24,'ETF List'!$C$1:$J$200,4,0))</f>
        <v/>
      </c>
      <c r="G24" s="488" t="str">
        <f>IF(C24="","",INDEX('Portfolio Bucket'!$C$2:$I$69,MATCH(C24,'Portfolio Bucket'!$C$2:$C$69,0),MATCH($E$2,'Portfolio Bucket'!$C$1:$I$1,0)))</f>
        <v/>
      </c>
      <c r="H24" s="489" t="str">
        <f>IF(C24="","",VLOOKUP(C24,'Portfolio Bucket'!$N$3:$Q$69,4,FALSE))</f>
        <v/>
      </c>
      <c r="I24" s="490" t="str">
        <f t="shared" si="0"/>
        <v/>
      </c>
      <c r="J24" s="489" t="str">
        <f>IF(C24="","",IF(INDEX('Price Inputs'!$C$5:$J$49,MATCH('Port Returns'!C24,'Price Inputs'!$C$5:$C$49,0),MATCH($E$2,'Price Inputs'!$C$5:$J$5,0))=0,VLOOKUP(C24,Trades!$C$9:$O$59,8,FALSE),INDEX('Price Inputs'!$C$5:$J$49,MATCH('Port Returns'!C24,'Price Inputs'!$C$5:$C$49,0),MATCH($E$2,'Price Inputs'!$C$5:$J$5,0))))</f>
        <v/>
      </c>
      <c r="K24" s="520" t="str">
        <f t="shared" si="1"/>
        <v/>
      </c>
      <c r="L24" s="522" t="str">
        <f t="shared" si="2"/>
        <v/>
      </c>
      <c r="M24" s="491" t="str">
        <f t="shared" si="3"/>
        <v/>
      </c>
      <c r="W24" s="36"/>
      <c r="X24" s="36"/>
    </row>
    <row r="25" spans="3:24" ht="17.25" customHeight="1" x14ac:dyDescent="0.2">
      <c r="C25" s="485" t="str">
        <f>IF('Current Portfolio'!C26="","",'Current Portfolio'!C26)</f>
        <v/>
      </c>
      <c r="D25" s="486" t="str">
        <f>IF(C25="","",VLOOKUP(C25,'ETF List'!$C$1:$J$200,3,0))</f>
        <v/>
      </c>
      <c r="E25" s="487" t="str">
        <f>IF(C25="","",IF(ISERROR(VLOOKUP(C25,'Policy Portfolio'!$H$21:$H$29,1,FALSE)),"Tactical","Policy"))</f>
        <v/>
      </c>
      <c r="F25" s="323" t="str">
        <f>IF(C25="","",VLOOKUP(C25,'ETF List'!$C$1:$J$200,4,0))</f>
        <v/>
      </c>
      <c r="G25" s="488" t="str">
        <f>IF(C25="","",INDEX('Portfolio Bucket'!$C$2:$I$69,MATCH(C25,'Portfolio Bucket'!$C$2:$C$69,0),MATCH($E$2,'Portfolio Bucket'!$C$1:$I$1,0)))</f>
        <v/>
      </c>
      <c r="H25" s="489" t="str">
        <f>IF(C25="","",VLOOKUP(C25,'Portfolio Bucket'!$N$3:$Q$69,4,FALSE))</f>
        <v/>
      </c>
      <c r="I25" s="490" t="str">
        <f t="shared" si="0"/>
        <v/>
      </c>
      <c r="J25" s="489" t="str">
        <f>IF(C25="","",IF(INDEX('Price Inputs'!$C$5:$J$49,MATCH('Port Returns'!C25,'Price Inputs'!$C$5:$C$49,0),MATCH($E$2,'Price Inputs'!$C$5:$J$5,0))=0,VLOOKUP(C25,Trades!$C$9:$O$59,8,FALSE),INDEX('Price Inputs'!$C$5:$J$49,MATCH('Port Returns'!C25,'Price Inputs'!$C$5:$C$49,0),MATCH($E$2,'Price Inputs'!$C$5:$J$5,0))))</f>
        <v/>
      </c>
      <c r="K25" s="520" t="str">
        <f t="shared" si="1"/>
        <v/>
      </c>
      <c r="L25" s="522" t="str">
        <f t="shared" si="2"/>
        <v/>
      </c>
      <c r="M25" s="491" t="str">
        <f t="shared" si="3"/>
        <v/>
      </c>
      <c r="W25" s="36"/>
      <c r="X25" s="36"/>
    </row>
    <row r="26" spans="3:24" ht="17.25" customHeight="1" x14ac:dyDescent="0.2">
      <c r="C26" s="485" t="str">
        <f>IF('Current Portfolio'!C27="","",'Current Portfolio'!C27)</f>
        <v/>
      </c>
      <c r="D26" s="486" t="str">
        <f>IF(C26="","",VLOOKUP(C26,'ETF List'!$C$1:$J$200,3,0))</f>
        <v/>
      </c>
      <c r="E26" s="487" t="str">
        <f>IF(C26="","",IF(ISERROR(VLOOKUP(C26,'Policy Portfolio'!$H$21:$H$29,1,FALSE)),"Tactical","Policy"))</f>
        <v/>
      </c>
      <c r="F26" s="323" t="str">
        <f>IF(C26="","",VLOOKUP(C26,'ETF List'!$C$1:$J$200,4,0))</f>
        <v/>
      </c>
      <c r="G26" s="488" t="str">
        <f>IF(C26="","",INDEX('Portfolio Bucket'!$C$2:$I$69,MATCH(C26,'Portfolio Bucket'!$C$2:$C$69,0),MATCH($E$2,'Portfolio Bucket'!$C$1:$I$1,0)))</f>
        <v/>
      </c>
      <c r="H26" s="489" t="str">
        <f>IF(C26="","",VLOOKUP(C26,'Portfolio Bucket'!$N$3:$Q$69,4,FALSE))</f>
        <v/>
      </c>
      <c r="I26" s="490" t="str">
        <f t="shared" si="0"/>
        <v/>
      </c>
      <c r="J26" s="489" t="str">
        <f>IF(C26="","",IF(INDEX('Price Inputs'!$C$5:$J$49,MATCH('Port Returns'!C26,'Price Inputs'!$C$5:$C$49,0),MATCH($E$2,'Price Inputs'!$C$5:$J$5,0))=0,VLOOKUP(C26,Trades!$C$9:$O$59,8,FALSE),INDEX('Price Inputs'!$C$5:$J$49,MATCH('Port Returns'!C26,'Price Inputs'!$C$5:$C$49,0),MATCH($E$2,'Price Inputs'!$C$5:$J$5,0))))</f>
        <v/>
      </c>
      <c r="K26" s="520" t="str">
        <f t="shared" si="1"/>
        <v/>
      </c>
      <c r="L26" s="522" t="str">
        <f t="shared" si="2"/>
        <v/>
      </c>
      <c r="M26" s="491" t="str">
        <f t="shared" si="3"/>
        <v/>
      </c>
      <c r="W26" s="36"/>
      <c r="X26" s="36"/>
    </row>
    <row r="27" spans="3:24" ht="17.25" customHeight="1" x14ac:dyDescent="0.2">
      <c r="C27" s="485" t="str">
        <f>IF('Current Portfolio'!C28="","",'Current Portfolio'!C28)</f>
        <v/>
      </c>
      <c r="D27" s="486" t="str">
        <f>IF(C27="","",VLOOKUP(C27,'ETF List'!$C$1:$J$200,3,0))</f>
        <v/>
      </c>
      <c r="E27" s="487" t="str">
        <f>IF(C27="","",IF(ISERROR(VLOOKUP(C27,'Policy Portfolio'!$H$21:$H$29,1,FALSE)),"Tactical","Policy"))</f>
        <v/>
      </c>
      <c r="F27" s="323" t="str">
        <f>IF(C27="","",VLOOKUP(C27,'ETF List'!$C$1:$J$200,4,0))</f>
        <v/>
      </c>
      <c r="G27" s="488" t="str">
        <f>IF(C27="","",INDEX('Portfolio Bucket'!$C$2:$I$69,MATCH(C27,'Portfolio Bucket'!$C$2:$C$69,0),MATCH($E$2,'Portfolio Bucket'!$C$1:$I$1,0)))</f>
        <v/>
      </c>
      <c r="H27" s="489" t="str">
        <f>IF(C27="","",VLOOKUP(C27,'Portfolio Bucket'!$N$3:$Q$69,4,FALSE))</f>
        <v/>
      </c>
      <c r="I27" s="490" t="str">
        <f t="shared" si="0"/>
        <v/>
      </c>
      <c r="J27" s="489" t="str">
        <f>IF(C27="","",IF(INDEX('Price Inputs'!$C$5:$J$49,MATCH('Port Returns'!C27,'Price Inputs'!$C$5:$C$49,0),MATCH($E$2,'Price Inputs'!$C$5:$J$5,0))=0,VLOOKUP(C27,Trades!$C$9:$O$59,8,FALSE),INDEX('Price Inputs'!$C$5:$J$49,MATCH('Port Returns'!C27,'Price Inputs'!$C$5:$C$49,0),MATCH($E$2,'Price Inputs'!$C$5:$J$5,0))))</f>
        <v/>
      </c>
      <c r="K27" s="520" t="str">
        <f t="shared" si="1"/>
        <v/>
      </c>
      <c r="L27" s="522" t="str">
        <f t="shared" si="2"/>
        <v/>
      </c>
      <c r="M27" s="491" t="str">
        <f t="shared" si="3"/>
        <v/>
      </c>
      <c r="W27" s="36"/>
      <c r="X27" s="36"/>
    </row>
    <row r="28" spans="3:24" ht="17.25" customHeight="1" x14ac:dyDescent="0.2">
      <c r="C28" s="485" t="str">
        <f>IF('Current Portfolio'!C29="","",'Current Portfolio'!C29)</f>
        <v/>
      </c>
      <c r="D28" s="486" t="str">
        <f>IF(C28="","",VLOOKUP(C28,'ETF List'!$C$1:$J$200,3,0))</f>
        <v/>
      </c>
      <c r="E28" s="487" t="str">
        <f>IF(C28="","",IF(ISERROR(VLOOKUP(C28,'Policy Portfolio'!$H$21:$H$29,1,FALSE)),"Tactical","Policy"))</f>
        <v/>
      </c>
      <c r="F28" s="323" t="str">
        <f>IF(C28="","",VLOOKUP(C28,'ETF List'!$C$1:$J$200,4,0))</f>
        <v/>
      </c>
      <c r="G28" s="488" t="str">
        <f>IF(C28="","",INDEX('Portfolio Bucket'!$C$2:$I$69,MATCH(C28,'Portfolio Bucket'!$C$2:$C$69,0),MATCH($E$2,'Portfolio Bucket'!$C$1:$I$1,0)))</f>
        <v/>
      </c>
      <c r="H28" s="489" t="str">
        <f>IF(C28="","",VLOOKUP(C28,'Portfolio Bucket'!$N$3:$Q$69,4,FALSE))</f>
        <v/>
      </c>
      <c r="I28" s="490" t="str">
        <f t="shared" si="0"/>
        <v/>
      </c>
      <c r="J28" s="489" t="str">
        <f>IF(C28="","",IF(INDEX('Price Inputs'!$C$5:$J$49,MATCH('Port Returns'!C28,'Price Inputs'!$C$5:$C$49,0),MATCH($E$2,'Price Inputs'!$C$5:$J$5,0))=0,VLOOKUP(C28,Trades!$C$9:$O$59,8,FALSE),INDEX('Price Inputs'!$C$5:$J$49,MATCH('Port Returns'!C28,'Price Inputs'!$C$5:$C$49,0),MATCH($E$2,'Price Inputs'!$C$5:$J$5,0))))</f>
        <v/>
      </c>
      <c r="K28" s="520" t="str">
        <f t="shared" si="1"/>
        <v/>
      </c>
      <c r="L28" s="522" t="str">
        <f t="shared" si="2"/>
        <v/>
      </c>
      <c r="M28" s="491" t="str">
        <f t="shared" si="3"/>
        <v/>
      </c>
      <c r="W28" s="36"/>
      <c r="X28" s="36"/>
    </row>
    <row r="29" spans="3:24" ht="17.25" customHeight="1" x14ac:dyDescent="0.2">
      <c r="C29" s="485" t="str">
        <f>IF('Current Portfolio'!C30="","",'Current Portfolio'!C30)</f>
        <v/>
      </c>
      <c r="D29" s="486" t="str">
        <f>IF(C29="","",VLOOKUP(C29,'ETF List'!$C$1:$J$200,3,0))</f>
        <v/>
      </c>
      <c r="E29" s="487" t="str">
        <f>IF(C29="","",IF(ISERROR(VLOOKUP(C29,'Policy Portfolio'!$H$21:$H$29,1,FALSE)),"Tactical","Policy"))</f>
        <v/>
      </c>
      <c r="F29" s="323" t="str">
        <f>IF(C29="","",VLOOKUP(C29,'ETF List'!$C$1:$J$200,4,0))</f>
        <v/>
      </c>
      <c r="G29" s="488" t="str">
        <f>IF(C29="","",INDEX('Portfolio Bucket'!$C$2:$I$69,MATCH(C29,'Portfolio Bucket'!$C$2:$C$69,0),MATCH($E$2,'Portfolio Bucket'!$C$1:$I$1,0)))</f>
        <v/>
      </c>
      <c r="H29" s="489" t="str">
        <f>IF(C29="","",VLOOKUP(C29,'Portfolio Bucket'!$N$3:$Q$69,4,FALSE))</f>
        <v/>
      </c>
      <c r="I29" s="490" t="str">
        <f t="shared" si="0"/>
        <v/>
      </c>
      <c r="J29" s="489" t="str">
        <f>IF(C29="","",IF(INDEX('Price Inputs'!$C$5:$J$49,MATCH('Port Returns'!C29,'Price Inputs'!$C$5:$C$49,0),MATCH($E$2,'Price Inputs'!$C$5:$J$5,0))=0,VLOOKUP(C29,Trades!$C$9:$O$59,8,FALSE),INDEX('Price Inputs'!$C$5:$J$49,MATCH('Port Returns'!C29,'Price Inputs'!$C$5:$C$49,0),MATCH($E$2,'Price Inputs'!$C$5:$J$5,0))))</f>
        <v/>
      </c>
      <c r="K29" s="520" t="str">
        <f t="shared" si="1"/>
        <v/>
      </c>
      <c r="L29" s="522" t="str">
        <f t="shared" si="2"/>
        <v/>
      </c>
      <c r="M29" s="491" t="str">
        <f t="shared" si="3"/>
        <v/>
      </c>
      <c r="W29" s="36"/>
      <c r="X29" s="36"/>
    </row>
    <row r="30" spans="3:24" ht="17.25" customHeight="1" x14ac:dyDescent="0.2">
      <c r="C30" s="485" t="str">
        <f>IF('Current Portfolio'!C31="","",'Current Portfolio'!C31)</f>
        <v/>
      </c>
      <c r="D30" s="486" t="str">
        <f>IF(C30="","",VLOOKUP(C30,'ETF List'!$C$1:$J$200,3,0))</f>
        <v/>
      </c>
      <c r="E30" s="487" t="str">
        <f>IF(C30="","",IF(ISERROR(VLOOKUP(C30,'Policy Portfolio'!$H$21:$H$29,1,FALSE)),"Tactical","Policy"))</f>
        <v/>
      </c>
      <c r="F30" s="323" t="str">
        <f>IF(C30="","",VLOOKUP(C30,'ETF List'!$C$1:$J$200,4,0))</f>
        <v/>
      </c>
      <c r="G30" s="488" t="str">
        <f>IF(C30="","",INDEX('Portfolio Bucket'!$C$2:$I$69,MATCH(C30,'Portfolio Bucket'!$C$2:$C$69,0),MATCH($E$2,'Portfolio Bucket'!$C$1:$I$1,0)))</f>
        <v/>
      </c>
      <c r="H30" s="489" t="str">
        <f>IF(C30="","",VLOOKUP(C30,'Portfolio Bucket'!$N$3:$Q$69,4,FALSE))</f>
        <v/>
      </c>
      <c r="I30" s="490" t="str">
        <f t="shared" si="0"/>
        <v/>
      </c>
      <c r="J30" s="489" t="str">
        <f>IF(C30="","",IF(INDEX('Price Inputs'!$C$5:$J$49,MATCH('Port Returns'!C30,'Price Inputs'!$C$5:$C$49,0),MATCH($E$2,'Price Inputs'!$C$5:$J$5,0))=0,VLOOKUP(C30,Trades!$C$9:$O$59,8,FALSE),INDEX('Price Inputs'!$C$5:$J$49,MATCH('Port Returns'!C30,'Price Inputs'!$C$5:$C$49,0),MATCH($E$2,'Price Inputs'!$C$5:$J$5,0))))</f>
        <v/>
      </c>
      <c r="K30" s="520" t="str">
        <f t="shared" si="1"/>
        <v/>
      </c>
      <c r="L30" s="522" t="str">
        <f t="shared" si="2"/>
        <v/>
      </c>
      <c r="M30" s="491" t="str">
        <f t="shared" si="3"/>
        <v/>
      </c>
      <c r="W30" s="36"/>
      <c r="X30" s="36"/>
    </row>
    <row r="31" spans="3:24" ht="17.25" customHeight="1" x14ac:dyDescent="0.2">
      <c r="C31" s="485" t="str">
        <f>IF('Current Portfolio'!C32="","",'Current Portfolio'!C32)</f>
        <v/>
      </c>
      <c r="D31" s="486" t="str">
        <f>IF(C31="","",VLOOKUP(C31,'ETF List'!$C$1:$J$200,3,0))</f>
        <v/>
      </c>
      <c r="E31" s="487" t="str">
        <f>IF(C31="","",IF(ISERROR(VLOOKUP(C31,'Policy Portfolio'!$H$21:$H$29,1,FALSE)),"Tactical","Policy"))</f>
        <v/>
      </c>
      <c r="F31" s="323" t="str">
        <f>IF(C31="","",VLOOKUP(C31,'ETF List'!$C$1:$J$200,4,0))</f>
        <v/>
      </c>
      <c r="G31" s="488" t="str">
        <f>IF(C31="","",INDEX('Portfolio Bucket'!$C$2:$I$69,MATCH(C31,'Portfolio Bucket'!$C$2:$C$69,0),MATCH($E$2,'Portfolio Bucket'!$C$1:$I$1,0)))</f>
        <v/>
      </c>
      <c r="H31" s="489" t="str">
        <f>IF(C31="","",VLOOKUP(C31,'Portfolio Bucket'!$N$3:$Q$69,4,FALSE))</f>
        <v/>
      </c>
      <c r="I31" s="490" t="str">
        <f t="shared" si="0"/>
        <v/>
      </c>
      <c r="J31" s="489" t="str">
        <f>IF(C31="","",IF(INDEX('Price Inputs'!$C$5:$J$49,MATCH('Port Returns'!C31,'Price Inputs'!$C$5:$C$49,0),MATCH($E$2,'Price Inputs'!$C$5:$J$5,0))=0,VLOOKUP(C31,Trades!$C$9:$O$59,8,FALSE),INDEX('Price Inputs'!$C$5:$J$49,MATCH('Port Returns'!C31,'Price Inputs'!$C$5:$C$49,0),MATCH($E$2,'Price Inputs'!$C$5:$J$5,0))))</f>
        <v/>
      </c>
      <c r="K31" s="520" t="str">
        <f t="shared" si="1"/>
        <v/>
      </c>
      <c r="L31" s="522" t="str">
        <f t="shared" si="2"/>
        <v/>
      </c>
      <c r="M31" s="491" t="str">
        <f t="shared" si="3"/>
        <v/>
      </c>
      <c r="W31" s="36"/>
      <c r="X31" s="36"/>
    </row>
    <row r="32" spans="3:24" ht="17.25" customHeight="1" x14ac:dyDescent="0.2">
      <c r="C32" s="485" t="str">
        <f>IF('Current Portfolio'!C33="","",'Current Portfolio'!C33)</f>
        <v/>
      </c>
      <c r="D32" s="486" t="str">
        <f>IF(C32="","",VLOOKUP(C32,'ETF List'!$C$1:$J$200,3,0))</f>
        <v/>
      </c>
      <c r="E32" s="487" t="str">
        <f>IF(C32="","",IF(ISERROR(VLOOKUP(C32,'Policy Portfolio'!$H$21:$H$29,1,FALSE)),"Tactical","Policy"))</f>
        <v/>
      </c>
      <c r="F32" s="323" t="str">
        <f>IF(C32="","",VLOOKUP(C32,'ETF List'!$C$1:$J$200,4,0))</f>
        <v/>
      </c>
      <c r="G32" s="488" t="str">
        <f>IF(C32="","",INDEX('Portfolio Bucket'!$C$2:$I$69,MATCH(C32,'Portfolio Bucket'!$C$2:$C$69,0),MATCH($E$2,'Portfolio Bucket'!$C$1:$I$1,0)))</f>
        <v/>
      </c>
      <c r="H32" s="489" t="str">
        <f>IF(C32="","",VLOOKUP(C32,'Portfolio Bucket'!$N$3:$Q$69,4,FALSE))</f>
        <v/>
      </c>
      <c r="I32" s="490" t="str">
        <f t="shared" si="0"/>
        <v/>
      </c>
      <c r="J32" s="489" t="str">
        <f>IF(C32="","",IF(INDEX('Price Inputs'!$C$5:$J$49,MATCH('Port Returns'!C32,'Price Inputs'!$C$5:$C$49,0),MATCH($E$2,'Price Inputs'!$C$5:$J$5,0))=0,VLOOKUP(C32,Trades!$C$9:$O$59,8,FALSE),INDEX('Price Inputs'!$C$5:$J$49,MATCH('Port Returns'!C32,'Price Inputs'!$C$5:$C$49,0),MATCH($E$2,'Price Inputs'!$C$5:$J$5,0))))</f>
        <v/>
      </c>
      <c r="K32" s="520" t="str">
        <f t="shared" si="1"/>
        <v/>
      </c>
      <c r="L32" s="522" t="str">
        <f t="shared" si="2"/>
        <v/>
      </c>
      <c r="M32" s="491" t="str">
        <f t="shared" si="3"/>
        <v/>
      </c>
      <c r="W32" s="36"/>
      <c r="X32" s="36"/>
    </row>
    <row r="33" spans="3:24" ht="17.25" customHeight="1" x14ac:dyDescent="0.2">
      <c r="C33" s="485" t="str">
        <f>IF('Current Portfolio'!C34="","",'Current Portfolio'!C34)</f>
        <v/>
      </c>
      <c r="D33" s="486" t="str">
        <f>IF(C33="","",VLOOKUP(C33,'ETF List'!$C$1:$J$200,3,0))</f>
        <v/>
      </c>
      <c r="E33" s="487" t="str">
        <f>IF(C33="","",IF(ISERROR(VLOOKUP(C33,'Policy Portfolio'!$H$21:$H$29,1,FALSE)),"Tactical","Policy"))</f>
        <v/>
      </c>
      <c r="F33" s="323" t="str">
        <f>IF(C33="","",VLOOKUP(C33,'ETF List'!$C$1:$J$200,4,0))</f>
        <v/>
      </c>
      <c r="G33" s="488" t="str">
        <f>IF(C33="","",INDEX('Portfolio Bucket'!$C$2:$I$69,MATCH(C33,'Portfolio Bucket'!$C$2:$C$69,0),MATCH($E$2,'Portfolio Bucket'!$C$1:$I$1,0)))</f>
        <v/>
      </c>
      <c r="H33" s="489" t="str">
        <f>IF(C33="","",VLOOKUP(C33,'Portfolio Bucket'!$N$3:$Q$69,4,FALSE))</f>
        <v/>
      </c>
      <c r="I33" s="490" t="str">
        <f t="shared" si="0"/>
        <v/>
      </c>
      <c r="J33" s="489" t="str">
        <f>IF(C33="","",IF(INDEX('Price Inputs'!$C$5:$J$49,MATCH('Port Returns'!C33,'Price Inputs'!$C$5:$C$49,0),MATCH($E$2,'Price Inputs'!$C$5:$J$5,0))=0,VLOOKUP(C33,Trades!$C$9:$O$59,8,FALSE),INDEX('Price Inputs'!$C$5:$J$49,MATCH('Port Returns'!C33,'Price Inputs'!$C$5:$C$49,0),MATCH($E$2,'Price Inputs'!$C$5:$J$5,0))))</f>
        <v/>
      </c>
      <c r="K33" s="520" t="str">
        <f t="shared" si="1"/>
        <v/>
      </c>
      <c r="L33" s="522" t="str">
        <f t="shared" si="2"/>
        <v/>
      </c>
      <c r="M33" s="491" t="str">
        <f t="shared" si="3"/>
        <v/>
      </c>
      <c r="W33" s="36"/>
      <c r="X33" s="36"/>
    </row>
    <row r="34" spans="3:24" ht="17.25" customHeight="1" x14ac:dyDescent="0.2">
      <c r="C34" s="485" t="str">
        <f>IF('Current Portfolio'!C35="","",'Current Portfolio'!C35)</f>
        <v/>
      </c>
      <c r="D34" s="486" t="str">
        <f>IF(C34="","",VLOOKUP(C34,'ETF List'!$C$1:$J$200,3,0))</f>
        <v/>
      </c>
      <c r="E34" s="487" t="str">
        <f>IF(C34="","",IF(ISERROR(VLOOKUP(C34,'Policy Portfolio'!$H$21:$H$29,1,FALSE)),"Tactical","Policy"))</f>
        <v/>
      </c>
      <c r="F34" s="323" t="str">
        <f>IF(C34="","",VLOOKUP(C34,'ETF List'!$C$1:$J$200,4,0))</f>
        <v/>
      </c>
      <c r="G34" s="488" t="str">
        <f>IF(C34="","",INDEX('Portfolio Bucket'!$C$2:$I$69,MATCH(C34,'Portfolio Bucket'!$C$2:$C$69,0),MATCH($E$2,'Portfolio Bucket'!$C$1:$I$1,0)))</f>
        <v/>
      </c>
      <c r="H34" s="489" t="str">
        <f>IF(C34="","",VLOOKUP(C34,'Portfolio Bucket'!$N$3:$Q$69,4,FALSE))</f>
        <v/>
      </c>
      <c r="I34" s="490" t="str">
        <f t="shared" si="0"/>
        <v/>
      </c>
      <c r="J34" s="489" t="str">
        <f>IF(C34="","",IF(INDEX('Price Inputs'!$C$5:$J$49,MATCH('Port Returns'!C34,'Price Inputs'!$C$5:$C$49,0),MATCH($E$2,'Price Inputs'!$C$5:$J$5,0))=0,VLOOKUP(C34,Trades!$C$9:$O$59,8,FALSE),INDEX('Price Inputs'!$C$5:$J$49,MATCH('Port Returns'!C34,'Price Inputs'!$C$5:$C$49,0),MATCH($E$2,'Price Inputs'!$C$5:$J$5,0))))</f>
        <v/>
      </c>
      <c r="K34" s="520" t="str">
        <f t="shared" si="1"/>
        <v/>
      </c>
      <c r="L34" s="522" t="str">
        <f t="shared" si="2"/>
        <v/>
      </c>
      <c r="M34" s="491" t="str">
        <f t="shared" si="3"/>
        <v/>
      </c>
      <c r="W34" s="36"/>
      <c r="X34" s="36"/>
    </row>
    <row r="35" spans="3:24" ht="17.25" customHeight="1" x14ac:dyDescent="0.2">
      <c r="C35" s="485" t="str">
        <f>IF('Current Portfolio'!C36="","",'Current Portfolio'!C36)</f>
        <v/>
      </c>
      <c r="D35" s="486" t="str">
        <f>IF(C35="","",VLOOKUP(C35,'ETF List'!$C$1:$J$200,3,0))</f>
        <v/>
      </c>
      <c r="E35" s="487" t="str">
        <f>IF(C35="","",IF(ISERROR(VLOOKUP(C35,'Policy Portfolio'!$H$21:$H$29,1,FALSE)),"Tactical","Policy"))</f>
        <v/>
      </c>
      <c r="F35" s="323" t="str">
        <f>IF(C35="","",VLOOKUP(C35,'ETF List'!$C$1:$J$200,4,0))</f>
        <v/>
      </c>
      <c r="G35" s="488" t="str">
        <f>IF(C35="","",INDEX('Portfolio Bucket'!$C$2:$I$69,MATCH(C35,'Portfolio Bucket'!$C$2:$C$69,0),MATCH($E$2,'Portfolio Bucket'!$C$1:$I$1,0)))</f>
        <v/>
      </c>
      <c r="H35" s="489" t="str">
        <f>IF(C35="","",VLOOKUP(C35,'Portfolio Bucket'!$N$3:$Q$69,4,FALSE))</f>
        <v/>
      </c>
      <c r="I35" s="490" t="str">
        <f t="shared" si="0"/>
        <v/>
      </c>
      <c r="J35" s="489" t="str">
        <f>IF(C35="","",IF(INDEX('Price Inputs'!$C$5:$J$49,MATCH('Port Returns'!C35,'Price Inputs'!$C$5:$C$49,0),MATCH($E$2,'Price Inputs'!$C$5:$J$5,0))=0,VLOOKUP(C35,Trades!$C$9:$O$59,8,FALSE),INDEX('Price Inputs'!$C$5:$J$49,MATCH('Port Returns'!C35,'Price Inputs'!$C$5:$C$49,0),MATCH($E$2,'Price Inputs'!$C$5:$J$5,0))))</f>
        <v/>
      </c>
      <c r="K35" s="520" t="str">
        <f t="shared" si="1"/>
        <v/>
      </c>
      <c r="L35" s="522" t="str">
        <f t="shared" si="2"/>
        <v/>
      </c>
      <c r="M35" s="491" t="str">
        <f t="shared" si="3"/>
        <v/>
      </c>
      <c r="W35" s="36"/>
      <c r="X35" s="36"/>
    </row>
    <row r="36" spans="3:24" ht="17.25" customHeight="1" x14ac:dyDescent="0.2">
      <c r="C36" s="485" t="str">
        <f>IF('Current Portfolio'!C37="","",'Current Portfolio'!C37)</f>
        <v/>
      </c>
      <c r="D36" s="486" t="str">
        <f>IF(C36="","",VLOOKUP(C36,'ETF List'!$C$1:$J$200,3,0))</f>
        <v/>
      </c>
      <c r="E36" s="487" t="str">
        <f>IF(C36="","",IF(ISERROR(VLOOKUP(C36,'Policy Portfolio'!$H$21:$H$29,1,FALSE)),"Tactical","Policy"))</f>
        <v/>
      </c>
      <c r="F36" s="323" t="str">
        <f>IF(C36="","",VLOOKUP(C36,'ETF List'!$C$1:$J$200,4,0))</f>
        <v/>
      </c>
      <c r="G36" s="488" t="str">
        <f>IF(C36="","",INDEX('Portfolio Bucket'!$C$2:$I$69,MATCH(C36,'Portfolio Bucket'!$C$2:$C$69,0),MATCH($E$2,'Portfolio Bucket'!$C$1:$I$1,0)))</f>
        <v/>
      </c>
      <c r="H36" s="489" t="str">
        <f>IF(C36="","",VLOOKUP(C36,'Portfolio Bucket'!$N$3:$Q$69,4,FALSE))</f>
        <v/>
      </c>
      <c r="I36" s="490" t="str">
        <f t="shared" si="0"/>
        <v/>
      </c>
      <c r="J36" s="489" t="str">
        <f>IF(C36="","",IF(INDEX('Price Inputs'!$C$5:$J$49,MATCH('Port Returns'!C36,'Price Inputs'!$C$5:$C$49,0),MATCH($E$2,'Price Inputs'!$C$5:$J$5,0))=0,VLOOKUP(C36,Trades!$C$9:$O$59,8,FALSE),INDEX('Price Inputs'!$C$5:$J$49,MATCH('Port Returns'!C36,'Price Inputs'!$C$5:$C$49,0),MATCH($E$2,'Price Inputs'!$C$5:$J$5,0))))</f>
        <v/>
      </c>
      <c r="K36" s="520" t="str">
        <f t="shared" si="1"/>
        <v/>
      </c>
      <c r="L36" s="522" t="str">
        <f t="shared" si="2"/>
        <v/>
      </c>
      <c r="M36" s="491" t="str">
        <f t="shared" si="3"/>
        <v/>
      </c>
      <c r="W36" s="36"/>
      <c r="X36" s="36"/>
    </row>
    <row r="37" spans="3:24" ht="17.25" customHeight="1" x14ac:dyDescent="0.2">
      <c r="C37" s="485" t="str">
        <f>IF('Current Portfolio'!C38="","",'Current Portfolio'!C38)</f>
        <v/>
      </c>
      <c r="D37" s="486" t="str">
        <f>IF(C37="","",VLOOKUP(C37,'ETF List'!$C$1:$J$200,3,0))</f>
        <v/>
      </c>
      <c r="E37" s="487" t="str">
        <f>IF(C37="","",IF(ISERROR(VLOOKUP(C37,'Policy Portfolio'!$H$21:$H$29,1,FALSE)),"Tactical","Policy"))</f>
        <v/>
      </c>
      <c r="F37" s="323" t="str">
        <f>IF(C37="","",VLOOKUP(C37,'ETF List'!$C$1:$J$200,4,0))</f>
        <v/>
      </c>
      <c r="G37" s="488" t="str">
        <f>IF(C37="","",INDEX('Portfolio Bucket'!$C$2:$I$69,MATCH(C37,'Portfolio Bucket'!$C$2:$C$69,0),MATCH($E$2,'Portfolio Bucket'!$C$1:$I$1,0)))</f>
        <v/>
      </c>
      <c r="H37" s="489" t="str">
        <f>IF(C37="","",VLOOKUP(C37,'Portfolio Bucket'!$N$3:$Q$69,4,FALSE))</f>
        <v/>
      </c>
      <c r="I37" s="490" t="str">
        <f t="shared" si="0"/>
        <v/>
      </c>
      <c r="J37" s="489" t="str">
        <f>IF(C37="","",IF(INDEX('Price Inputs'!$C$5:$J$49,MATCH('Port Returns'!C37,'Price Inputs'!$C$5:$C$49,0),MATCH($E$2,'Price Inputs'!$C$5:$J$5,0))=0,VLOOKUP(C37,Trades!$C$9:$O$59,8,FALSE),INDEX('Price Inputs'!$C$5:$J$49,MATCH('Port Returns'!C37,'Price Inputs'!$C$5:$C$49,0),MATCH($E$2,'Price Inputs'!$C$5:$J$5,0))))</f>
        <v/>
      </c>
      <c r="K37" s="520" t="str">
        <f t="shared" si="1"/>
        <v/>
      </c>
      <c r="L37" s="522" t="str">
        <f t="shared" si="2"/>
        <v/>
      </c>
      <c r="M37" s="491" t="str">
        <f t="shared" si="3"/>
        <v/>
      </c>
      <c r="W37" s="36"/>
      <c r="X37" s="36"/>
    </row>
    <row r="38" spans="3:24" ht="17.25" customHeight="1" x14ac:dyDescent="0.2">
      <c r="C38" s="485" t="str">
        <f>IF('Current Portfolio'!C39="","",'Current Portfolio'!C39)</f>
        <v/>
      </c>
      <c r="D38" s="486" t="str">
        <f>IF(C38="","",VLOOKUP(C38,'ETF List'!$C$1:$J$200,3,0))</f>
        <v/>
      </c>
      <c r="E38" s="487" t="str">
        <f>IF(C38="","",IF(ISERROR(VLOOKUP(C38,'Policy Portfolio'!$H$21:$H$29,1,FALSE)),"Tactical","Policy"))</f>
        <v/>
      </c>
      <c r="F38" s="323" t="str">
        <f>IF(C38="","",VLOOKUP(C38,'ETF List'!$C$1:$J$200,4,0))</f>
        <v/>
      </c>
      <c r="G38" s="488" t="str">
        <f>IF(C38="","",INDEX('Portfolio Bucket'!$C$2:$I$69,MATCH(C38,'Portfolio Bucket'!$C$2:$C$69,0),MATCH($E$2,'Portfolio Bucket'!$C$1:$I$1,0)))</f>
        <v/>
      </c>
      <c r="H38" s="489" t="str">
        <f>IF(C38="","",VLOOKUP(C38,'Portfolio Bucket'!$N$3:$Q$69,4,FALSE))</f>
        <v/>
      </c>
      <c r="I38" s="490" t="str">
        <f t="shared" si="0"/>
        <v/>
      </c>
      <c r="J38" s="489" t="str">
        <f>IF(C38="","",IF(INDEX('Price Inputs'!$C$5:$J$49,MATCH('Port Returns'!C38,'Price Inputs'!$C$5:$C$49,0),MATCH($E$2,'Price Inputs'!$C$5:$J$5,0))=0,VLOOKUP(C38,Trades!$C$9:$O$59,8,FALSE),INDEX('Price Inputs'!$C$5:$J$49,MATCH('Port Returns'!C38,'Price Inputs'!$C$5:$C$49,0),MATCH($E$2,'Price Inputs'!$C$5:$J$5,0))))</f>
        <v/>
      </c>
      <c r="K38" s="520" t="str">
        <f t="shared" si="1"/>
        <v/>
      </c>
      <c r="L38" s="522" t="str">
        <f t="shared" si="2"/>
        <v/>
      </c>
      <c r="M38" s="491" t="str">
        <f t="shared" si="3"/>
        <v/>
      </c>
      <c r="W38" s="36"/>
      <c r="X38" s="36"/>
    </row>
    <row r="39" spans="3:24" ht="17.25" customHeight="1" x14ac:dyDescent="0.2">
      <c r="C39" s="492" t="str">
        <f>IF('Current Portfolio'!C40="","",'Current Portfolio'!C40)</f>
        <v/>
      </c>
      <c r="D39" s="493" t="str">
        <f>IF(C39="","",VLOOKUP(C39,'ETF List'!$C$1:$J$200,3,0))</f>
        <v/>
      </c>
      <c r="E39" s="494" t="str">
        <f>IF(C39="","",IF(ISERROR(VLOOKUP(C39,'Policy Portfolio'!$H$21:$H$29,1,FALSE)),"Tactical","Policy"))</f>
        <v/>
      </c>
      <c r="F39" s="495" t="str">
        <f>IF(C39="","",VLOOKUP(C39,'ETF List'!$C$1:$J$200,4,0))</f>
        <v/>
      </c>
      <c r="G39" s="496" t="str">
        <f>IF(C39="","",INDEX('Portfolio Bucket'!$C$2:$I$69,MATCH(C39,'Portfolio Bucket'!$C$2:$C$69,0),MATCH($E$2,'Portfolio Bucket'!$C$1:$I$1,0)))</f>
        <v/>
      </c>
      <c r="H39" s="497" t="str">
        <f>IF(C39="","",VLOOKUP(C39,'Portfolio Bucket'!$N$3:$Q$69,4,FALSE))</f>
        <v/>
      </c>
      <c r="I39" s="498" t="str">
        <f t="shared" si="0"/>
        <v/>
      </c>
      <c r="J39" s="497" t="str">
        <f>IF(C39="","",IF(INDEX('Price Inputs'!$C$5:$J$49,MATCH('Port Returns'!C39,'Price Inputs'!$C$5:$C$49,0),MATCH($E$2,'Price Inputs'!$C$5:$J$5,0))=0,VLOOKUP(C39,Trades!$C$9:$O$59,8,FALSE),INDEX('Price Inputs'!$C$5:$J$49,MATCH('Port Returns'!C39,'Price Inputs'!$C$5:$C$49,0),MATCH($E$2,'Price Inputs'!$C$5:$J$5,0))))</f>
        <v/>
      </c>
      <c r="K39" s="521" t="str">
        <f t="shared" si="1"/>
        <v/>
      </c>
      <c r="L39" s="523" t="str">
        <f t="shared" si="2"/>
        <v/>
      </c>
      <c r="M39" s="499" t="str">
        <f t="shared" si="3"/>
        <v/>
      </c>
      <c r="W39" s="36"/>
      <c r="X39" s="36"/>
    </row>
    <row r="40" spans="3:24" ht="17.25" customHeight="1" x14ac:dyDescent="0.2">
      <c r="C40" s="597" t="s">
        <v>470</v>
      </c>
      <c r="D40" s="323"/>
      <c r="E40" s="323"/>
      <c r="F40" s="323"/>
      <c r="G40" s="323"/>
      <c r="H40" s="273"/>
      <c r="I40" s="324"/>
      <c r="J40" s="325"/>
      <c r="K40" s="326"/>
      <c r="Q40" s="315"/>
      <c r="S40" s="45"/>
      <c r="T40" s="316"/>
    </row>
    <row r="41" spans="3:24" ht="17.25" customHeight="1" x14ac:dyDescent="0.2">
      <c r="C41" s="597" t="s">
        <v>471</v>
      </c>
      <c r="D41" s="323"/>
      <c r="E41" s="323"/>
      <c r="F41" s="323"/>
      <c r="G41" s="323"/>
      <c r="H41" s="273"/>
      <c r="I41" s="324"/>
      <c r="J41" s="325"/>
      <c r="K41" s="326"/>
      <c r="Q41" s="315"/>
      <c r="S41" s="45"/>
      <c r="T41" s="316"/>
    </row>
    <row r="42" spans="3:24" ht="17.25" customHeight="1" x14ac:dyDescent="0.2">
      <c r="C42" s="322"/>
      <c r="D42" s="323"/>
      <c r="E42" s="323"/>
      <c r="F42" s="323"/>
      <c r="G42" s="323"/>
      <c r="H42" s="273"/>
      <c r="I42" s="324"/>
      <c r="J42" s="325"/>
      <c r="K42" s="326"/>
      <c r="Q42" s="315"/>
      <c r="S42" s="45"/>
      <c r="T42" s="316"/>
    </row>
    <row r="43" spans="3:24" ht="17.25" customHeight="1" x14ac:dyDescent="0.2">
      <c r="C43" s="322"/>
      <c r="D43" s="323"/>
      <c r="E43" s="323"/>
      <c r="F43" s="323"/>
      <c r="G43" s="323"/>
      <c r="H43" s="273"/>
      <c r="I43" s="324"/>
      <c r="J43" s="325"/>
      <c r="K43" s="326"/>
      <c r="Q43" s="315"/>
      <c r="S43" s="42"/>
      <c r="T43" s="316"/>
    </row>
    <row r="44" spans="3:24" ht="26" x14ac:dyDescent="0.3">
      <c r="C44" s="318" t="s">
        <v>434</v>
      </c>
      <c r="D44" s="319"/>
      <c r="E44" s="319"/>
      <c r="F44" s="319"/>
      <c r="G44" s="319"/>
      <c r="H44" s="320"/>
      <c r="I44" s="319"/>
      <c r="J44" s="397"/>
      <c r="K44" s="28"/>
    </row>
    <row r="45" spans="3:24" ht="17.25" customHeight="1" x14ac:dyDescent="0.2">
      <c r="C45" s="500"/>
      <c r="D45" s="501"/>
      <c r="E45" s="501"/>
      <c r="F45" s="502"/>
      <c r="G45" s="394"/>
      <c r="H45" s="394"/>
      <c r="I45" s="395"/>
      <c r="J45" s="395"/>
    </row>
    <row r="46" spans="3:24" ht="46.5" customHeight="1" x14ac:dyDescent="0.2">
      <c r="C46" s="178" t="s">
        <v>0</v>
      </c>
      <c r="D46" s="49" t="s">
        <v>1</v>
      </c>
      <c r="E46" s="49" t="s">
        <v>32</v>
      </c>
      <c r="F46" s="49" t="s">
        <v>419</v>
      </c>
      <c r="G46" s="51" t="str">
        <f>H8</f>
        <v>Average
Historical Cost</v>
      </c>
      <c r="H46" s="51" t="s">
        <v>455</v>
      </c>
      <c r="I46" s="51" t="s">
        <v>456</v>
      </c>
      <c r="J46" s="51" t="s">
        <v>452</v>
      </c>
      <c r="W46" s="36"/>
      <c r="X46" s="36"/>
    </row>
    <row r="47" spans="3:24" ht="17.25" customHeight="1" x14ac:dyDescent="0.2">
      <c r="C47" s="503"/>
      <c r="D47" s="474"/>
      <c r="E47" s="474"/>
      <c r="F47" s="504" t="str">
        <f t="shared" ref="F47" si="4">IF(SUMIFS($I$134:$I$172,$C$134:$C$172,C47)=0,"",SUMIFS($I$134:$I$172,$C$134:$C$172,C47))</f>
        <v/>
      </c>
      <c r="G47" s="505" t="str">
        <f>IF(F47="","",H10)</f>
        <v/>
      </c>
      <c r="H47" s="505" t="str">
        <f>IF(C9="","",VLOOKUP(C9,'Portfolio Bucket'!$N$3:$T$69,7,FALSE))</f>
        <v/>
      </c>
      <c r="I47" s="504" t="str">
        <f>IF(G47="","",(H47-G47)*F47)</f>
        <v/>
      </c>
      <c r="J47" s="504" t="str">
        <f>IF(G47="","",I47/(G47*F47))</f>
        <v/>
      </c>
      <c r="W47" s="36"/>
      <c r="X47" s="36"/>
    </row>
    <row r="48" spans="3:24" ht="17.25" customHeight="1" x14ac:dyDescent="0.2">
      <c r="C48" s="506" t="str">
        <f t="shared" ref="C48:C77" si="5">IF(C10="","",C10)</f>
        <v>BWX</v>
      </c>
      <c r="D48" s="507" t="str">
        <f>IF(C10="","",VLOOKUP(C10,'ETF List'!$C$1:$J$200,3,0))</f>
        <v>SPDR BBG Barclays Intl Treasury</v>
      </c>
      <c r="E48" s="507" t="str">
        <f>IF(C48="","",VLOOKUP(C48,'ETF List'!$C$1:$J$200,4,0))</f>
        <v>Bonds</v>
      </c>
      <c r="F48" s="508" t="str">
        <f t="shared" ref="F48:F77" si="6">IF(C48="","",IF(SUMIFS($I$134:$I$172,$C$134:$C$172,C48)=0,"",SUMIFS($I$134:$I$172,$C$134:$C$172,C48)))</f>
        <v/>
      </c>
      <c r="G48" s="482" t="str">
        <f t="shared" ref="G48:G77" si="7">IF(F48="","",H10)</f>
        <v/>
      </c>
      <c r="H48" s="482" t="str">
        <f>IF(C10="","",VLOOKUP(C10,'Portfolio Bucket'!$N$3:$T$69,7,FALSE))</f>
        <v/>
      </c>
      <c r="I48" s="509" t="str">
        <f t="shared" ref="I48:I77" si="8">IF(G48="","",(H48-G48)*F48)</f>
        <v/>
      </c>
      <c r="J48" s="484" t="str">
        <f t="shared" ref="J48:J77" si="9">IF(G48="","",I48/(G48*F48))</f>
        <v/>
      </c>
      <c r="Q48" s="315"/>
      <c r="S48" s="42"/>
      <c r="T48" s="316"/>
    </row>
    <row r="49" spans="3:20" ht="17.25" customHeight="1" x14ac:dyDescent="0.2">
      <c r="C49" s="510" t="str">
        <f t="shared" si="5"/>
        <v>EZU</v>
      </c>
      <c r="D49" s="45" t="str">
        <f>IF(C11="","",VLOOKUP(C11,'ETF List'!$C$1:$J$200,3,0))</f>
        <v xml:space="preserve">iShares Eurozone </v>
      </c>
      <c r="E49" s="45" t="str">
        <f>IF(C49="","",VLOOKUP(C49,'ETF List'!$C$1:$J$200,4,0))</f>
        <v>Intl Equity</v>
      </c>
      <c r="F49" s="511" t="str">
        <f t="shared" si="6"/>
        <v/>
      </c>
      <c r="G49" s="512" t="str">
        <f t="shared" si="7"/>
        <v/>
      </c>
      <c r="H49" s="512" t="str">
        <f>IF(C11="","",VLOOKUP(C11,'Portfolio Bucket'!$N$3:$T$69,7,FALSE))</f>
        <v/>
      </c>
      <c r="I49" s="509" t="str">
        <f t="shared" si="8"/>
        <v/>
      </c>
      <c r="J49" s="491" t="str">
        <f t="shared" si="9"/>
        <v/>
      </c>
      <c r="Q49" s="315"/>
      <c r="S49" s="42"/>
      <c r="T49" s="316"/>
    </row>
    <row r="50" spans="3:20" ht="17.25" customHeight="1" x14ac:dyDescent="0.2">
      <c r="C50" s="510" t="str">
        <f t="shared" si="5"/>
        <v>IAU</v>
      </c>
      <c r="D50" s="45" t="str">
        <f>IF(C12="","",VLOOKUP(C12,'ETF List'!$C$1:$J$200,3,0))</f>
        <v>iShares Gold Trust</v>
      </c>
      <c r="E50" s="45" t="str">
        <f>IF(C50="","",VLOOKUP(C50,'ETF List'!$C$1:$J$200,4,0))</f>
        <v>Alternatives</v>
      </c>
      <c r="F50" s="511" t="str">
        <f t="shared" si="6"/>
        <v/>
      </c>
      <c r="G50" s="512" t="str">
        <f t="shared" si="7"/>
        <v/>
      </c>
      <c r="H50" s="512" t="str">
        <f>IF(C12="","",VLOOKUP(C12,'Portfolio Bucket'!$N$3:$T$69,7,FALSE))</f>
        <v/>
      </c>
      <c r="I50" s="509" t="str">
        <f>IF(G50="","",(H50-G50)*F50)</f>
        <v/>
      </c>
      <c r="J50" s="491" t="str">
        <f t="shared" si="9"/>
        <v/>
      </c>
      <c r="Q50" s="315"/>
      <c r="S50" s="42"/>
      <c r="T50" s="316"/>
    </row>
    <row r="51" spans="3:20" ht="17.25" customHeight="1" x14ac:dyDescent="0.2">
      <c r="C51" s="510" t="str">
        <f t="shared" si="5"/>
        <v>VTI</v>
      </c>
      <c r="D51" s="45" t="str">
        <f>IF(C13="","",VLOOKUP(C13,'ETF List'!$C$1:$J$200,3,0))</f>
        <v xml:space="preserve">Vanguard Total Stock Mrkt </v>
      </c>
      <c r="E51" s="45" t="str">
        <f>IF(C51="","",VLOOKUP(C51,'ETF List'!$C$1:$J$200,4,0))</f>
        <v>US Equity</v>
      </c>
      <c r="F51" s="511">
        <f t="shared" si="6"/>
        <v>1950</v>
      </c>
      <c r="G51" s="512">
        <f t="shared" si="7"/>
        <v>97.67</v>
      </c>
      <c r="H51" s="512">
        <f>IF(C13="","",VLOOKUP(C13,'Portfolio Bucket'!$N$3:$T$69,7,FALSE))</f>
        <v>101.54</v>
      </c>
      <c r="I51" s="509">
        <f t="shared" si="8"/>
        <v>7546.5000000000091</v>
      </c>
      <c r="J51" s="491">
        <f t="shared" si="9"/>
        <v>3.9623221050476137E-2</v>
      </c>
      <c r="Q51" s="315"/>
      <c r="S51" s="42"/>
      <c r="T51" s="316"/>
    </row>
    <row r="52" spans="3:20" ht="17.25" customHeight="1" x14ac:dyDescent="0.2">
      <c r="C52" s="510" t="str">
        <f t="shared" si="5"/>
        <v/>
      </c>
      <c r="D52" s="45" t="str">
        <f>IF(C14="","",VLOOKUP(C14,'ETF List'!$C$1:$J$200,3,0))</f>
        <v/>
      </c>
      <c r="E52" s="45" t="str">
        <f>IF(C52="","",VLOOKUP(C52,'ETF List'!$C$1:$J$200,4,0))</f>
        <v/>
      </c>
      <c r="F52" s="511" t="str">
        <f t="shared" si="6"/>
        <v/>
      </c>
      <c r="G52" s="512" t="str">
        <f t="shared" si="7"/>
        <v/>
      </c>
      <c r="H52" s="512" t="str">
        <f>IF(C14="","",VLOOKUP(C14,'Portfolio Bucket'!$N$3:$T$69,7,FALSE))</f>
        <v/>
      </c>
      <c r="I52" s="509" t="str">
        <f t="shared" si="8"/>
        <v/>
      </c>
      <c r="J52" s="491" t="str">
        <f t="shared" si="9"/>
        <v/>
      </c>
      <c r="Q52" s="315"/>
      <c r="S52" s="42"/>
      <c r="T52" s="316"/>
    </row>
    <row r="53" spans="3:20" ht="17.25" customHeight="1" x14ac:dyDescent="0.2">
      <c r="C53" s="510" t="str">
        <f t="shared" si="5"/>
        <v/>
      </c>
      <c r="D53" s="45" t="str">
        <f>IF(C15="","",VLOOKUP(C15,'ETF List'!$C$1:$J$200,3,0))</f>
        <v/>
      </c>
      <c r="E53" s="45" t="str">
        <f>IF(C53="","",VLOOKUP(C53,'ETF List'!$C$1:$J$200,4,0))</f>
        <v/>
      </c>
      <c r="F53" s="511" t="str">
        <f t="shared" si="6"/>
        <v/>
      </c>
      <c r="G53" s="512" t="str">
        <f t="shared" si="7"/>
        <v/>
      </c>
      <c r="H53" s="512" t="str">
        <f>IF(C15="","",VLOOKUP(C15,'Portfolio Bucket'!$N$3:$T$69,7,FALSE))</f>
        <v/>
      </c>
      <c r="I53" s="509" t="str">
        <f t="shared" si="8"/>
        <v/>
      </c>
      <c r="J53" s="491" t="str">
        <f t="shared" si="9"/>
        <v/>
      </c>
      <c r="Q53" s="315"/>
      <c r="S53" s="42"/>
      <c r="T53" s="316"/>
    </row>
    <row r="54" spans="3:20" ht="17.25" customHeight="1" x14ac:dyDescent="0.2">
      <c r="C54" s="510" t="str">
        <f t="shared" si="5"/>
        <v/>
      </c>
      <c r="D54" s="45" t="str">
        <f>IF(C16="","",VLOOKUP(C16,'ETF List'!$C$1:$J$200,3,0))</f>
        <v/>
      </c>
      <c r="E54" s="45" t="str">
        <f>IF(C54="","",VLOOKUP(C54,'ETF List'!$C$1:$J$200,4,0))</f>
        <v/>
      </c>
      <c r="F54" s="511" t="str">
        <f t="shared" si="6"/>
        <v/>
      </c>
      <c r="G54" s="512" t="str">
        <f t="shared" si="7"/>
        <v/>
      </c>
      <c r="H54" s="512" t="str">
        <f>IF(C16="","",VLOOKUP(C16,'Portfolio Bucket'!$N$3:$T$69,7,FALSE))</f>
        <v/>
      </c>
      <c r="I54" s="509" t="str">
        <f t="shared" si="8"/>
        <v/>
      </c>
      <c r="J54" s="491" t="str">
        <f t="shared" si="9"/>
        <v/>
      </c>
      <c r="Q54" s="315"/>
      <c r="S54" s="42"/>
      <c r="T54" s="316"/>
    </row>
    <row r="55" spans="3:20" ht="17.25" customHeight="1" x14ac:dyDescent="0.2">
      <c r="C55" s="510" t="str">
        <f t="shared" si="5"/>
        <v/>
      </c>
      <c r="D55" s="45" t="str">
        <f>IF(C17="","",VLOOKUP(C17,'ETF List'!$C$1:$J$200,3,0))</f>
        <v/>
      </c>
      <c r="E55" s="45" t="str">
        <f>IF(C55="","",VLOOKUP(C55,'ETF List'!$C$1:$J$200,4,0))</f>
        <v/>
      </c>
      <c r="F55" s="511" t="str">
        <f t="shared" si="6"/>
        <v/>
      </c>
      <c r="G55" s="512" t="str">
        <f t="shared" si="7"/>
        <v/>
      </c>
      <c r="H55" s="512" t="str">
        <f>IF(C17="","",VLOOKUP(C17,'Portfolio Bucket'!$N$3:$T$69,7,FALSE))</f>
        <v/>
      </c>
      <c r="I55" s="509" t="str">
        <f t="shared" si="8"/>
        <v/>
      </c>
      <c r="J55" s="491" t="str">
        <f t="shared" si="9"/>
        <v/>
      </c>
      <c r="Q55" s="315"/>
      <c r="S55" s="42"/>
      <c r="T55" s="316"/>
    </row>
    <row r="56" spans="3:20" ht="17.25" customHeight="1" x14ac:dyDescent="0.2">
      <c r="C56" s="510" t="str">
        <f t="shared" si="5"/>
        <v/>
      </c>
      <c r="D56" s="45" t="str">
        <f>IF(C18="","",VLOOKUP(C18,'ETF List'!$C$1:$J$200,3,0))</f>
        <v/>
      </c>
      <c r="E56" s="45" t="str">
        <f>IF(C56="","",VLOOKUP(C56,'ETF List'!$C$1:$J$200,4,0))</f>
        <v/>
      </c>
      <c r="F56" s="511" t="str">
        <f t="shared" si="6"/>
        <v/>
      </c>
      <c r="G56" s="512" t="str">
        <f t="shared" si="7"/>
        <v/>
      </c>
      <c r="H56" s="512" t="str">
        <f>IF(C18="","",VLOOKUP(C18,'Portfolio Bucket'!$N$3:$T$69,7,FALSE))</f>
        <v/>
      </c>
      <c r="I56" s="509" t="str">
        <f t="shared" si="8"/>
        <v/>
      </c>
      <c r="J56" s="491" t="str">
        <f t="shared" si="9"/>
        <v/>
      </c>
      <c r="Q56" s="315"/>
      <c r="S56" s="42"/>
      <c r="T56" s="316"/>
    </row>
    <row r="57" spans="3:20" ht="17.25" customHeight="1" x14ac:dyDescent="0.2">
      <c r="C57" s="510" t="str">
        <f t="shared" si="5"/>
        <v/>
      </c>
      <c r="D57" s="45" t="str">
        <f>IF(C19="","",VLOOKUP(C19,'ETF List'!$C$1:$J$200,3,0))</f>
        <v/>
      </c>
      <c r="E57" s="45" t="str">
        <f>IF(C57="","",VLOOKUP(C57,'ETF List'!$C$1:$J$200,4,0))</f>
        <v/>
      </c>
      <c r="F57" s="511" t="str">
        <f t="shared" si="6"/>
        <v/>
      </c>
      <c r="G57" s="512" t="str">
        <f t="shared" si="7"/>
        <v/>
      </c>
      <c r="H57" s="512" t="str">
        <f>IF(C19="","",VLOOKUP(C19,'Portfolio Bucket'!$N$3:$T$69,7,FALSE))</f>
        <v/>
      </c>
      <c r="I57" s="509" t="str">
        <f t="shared" si="8"/>
        <v/>
      </c>
      <c r="J57" s="491" t="str">
        <f t="shared" si="9"/>
        <v/>
      </c>
      <c r="Q57" s="315"/>
      <c r="S57" s="42"/>
      <c r="T57" s="316"/>
    </row>
    <row r="58" spans="3:20" ht="17.25" customHeight="1" x14ac:dyDescent="0.2">
      <c r="C58" s="510" t="str">
        <f t="shared" si="5"/>
        <v/>
      </c>
      <c r="D58" s="45" t="str">
        <f>IF(C20="","",VLOOKUP(C20,'ETF List'!$C$1:$J$200,3,0))</f>
        <v/>
      </c>
      <c r="E58" s="45" t="str">
        <f>IF(C58="","",VLOOKUP(C58,'ETF List'!$C$1:$J$200,4,0))</f>
        <v/>
      </c>
      <c r="F58" s="511" t="str">
        <f t="shared" si="6"/>
        <v/>
      </c>
      <c r="G58" s="512" t="str">
        <f t="shared" si="7"/>
        <v/>
      </c>
      <c r="H58" s="512" t="str">
        <f>IF(C20="","",VLOOKUP(C20,'Portfolio Bucket'!$N$3:$T$69,7,FALSE))</f>
        <v/>
      </c>
      <c r="I58" s="509" t="str">
        <f t="shared" si="8"/>
        <v/>
      </c>
      <c r="J58" s="491" t="str">
        <f t="shared" si="9"/>
        <v/>
      </c>
      <c r="Q58" s="315"/>
      <c r="S58" s="42"/>
      <c r="T58" s="316"/>
    </row>
    <row r="59" spans="3:20" ht="17.25" customHeight="1" x14ac:dyDescent="0.2">
      <c r="C59" s="510" t="str">
        <f t="shared" si="5"/>
        <v/>
      </c>
      <c r="D59" s="45" t="str">
        <f>IF(C21="","",VLOOKUP(C21,'ETF List'!$C$1:$J$200,3,0))</f>
        <v/>
      </c>
      <c r="E59" s="45" t="str">
        <f>IF(C59="","",VLOOKUP(C59,'ETF List'!$C$1:$J$200,4,0))</f>
        <v/>
      </c>
      <c r="F59" s="511" t="str">
        <f t="shared" si="6"/>
        <v/>
      </c>
      <c r="G59" s="512" t="str">
        <f t="shared" si="7"/>
        <v/>
      </c>
      <c r="H59" s="512" t="str">
        <f>IF(C21="","",VLOOKUP(C21,'Portfolio Bucket'!$N$3:$T$69,7,FALSE))</f>
        <v/>
      </c>
      <c r="I59" s="509" t="str">
        <f t="shared" si="8"/>
        <v/>
      </c>
      <c r="J59" s="491" t="str">
        <f t="shared" si="9"/>
        <v/>
      </c>
      <c r="Q59" s="315"/>
      <c r="S59" s="42"/>
      <c r="T59" s="316"/>
    </row>
    <row r="60" spans="3:20" ht="17.25" customHeight="1" x14ac:dyDescent="0.2">
      <c r="C60" s="510" t="str">
        <f t="shared" si="5"/>
        <v/>
      </c>
      <c r="D60" s="45" t="str">
        <f>IF(C22="","",VLOOKUP(C22,'ETF List'!$C$1:$J$200,3,0))</f>
        <v/>
      </c>
      <c r="E60" s="45" t="str">
        <f>IF(C60="","",VLOOKUP(C60,'ETF List'!$C$1:$J$200,4,0))</f>
        <v/>
      </c>
      <c r="F60" s="511" t="str">
        <f t="shared" si="6"/>
        <v/>
      </c>
      <c r="G60" s="512" t="str">
        <f t="shared" si="7"/>
        <v/>
      </c>
      <c r="H60" s="512" t="str">
        <f>IF(C22="","",VLOOKUP(C22,'Portfolio Bucket'!$N$3:$T$69,7,FALSE))</f>
        <v/>
      </c>
      <c r="I60" s="509" t="str">
        <f t="shared" si="8"/>
        <v/>
      </c>
      <c r="J60" s="491" t="str">
        <f t="shared" si="9"/>
        <v/>
      </c>
      <c r="Q60" s="315"/>
      <c r="S60" s="42"/>
      <c r="T60" s="316"/>
    </row>
    <row r="61" spans="3:20" ht="17.25" customHeight="1" x14ac:dyDescent="0.2">
      <c r="C61" s="510" t="str">
        <f t="shared" si="5"/>
        <v/>
      </c>
      <c r="D61" s="45" t="str">
        <f>IF(C23="","",VLOOKUP(C23,'ETF List'!$C$1:$J$200,3,0))</f>
        <v/>
      </c>
      <c r="E61" s="45" t="str">
        <f>IF(C61="","",VLOOKUP(C61,'ETF List'!$C$1:$J$200,4,0))</f>
        <v/>
      </c>
      <c r="F61" s="511" t="str">
        <f t="shared" si="6"/>
        <v/>
      </c>
      <c r="G61" s="512" t="str">
        <f t="shared" si="7"/>
        <v/>
      </c>
      <c r="H61" s="512" t="str">
        <f>IF(C23="","",VLOOKUP(C23,'Portfolio Bucket'!$N$3:$T$69,7,FALSE))</f>
        <v/>
      </c>
      <c r="I61" s="509" t="str">
        <f t="shared" si="8"/>
        <v/>
      </c>
      <c r="J61" s="491" t="str">
        <f t="shared" si="9"/>
        <v/>
      </c>
      <c r="Q61" s="315"/>
      <c r="S61" s="42"/>
      <c r="T61" s="316"/>
    </row>
    <row r="62" spans="3:20" ht="17.25" customHeight="1" x14ac:dyDescent="0.2">
      <c r="C62" s="510" t="str">
        <f t="shared" si="5"/>
        <v/>
      </c>
      <c r="D62" s="45" t="str">
        <f>IF(C24="","",VLOOKUP(C24,'ETF List'!$C$1:$J$200,3,0))</f>
        <v/>
      </c>
      <c r="E62" s="45" t="str">
        <f>IF(C62="","",VLOOKUP(C62,'ETF List'!$C$1:$J$200,4,0))</f>
        <v/>
      </c>
      <c r="F62" s="511" t="str">
        <f t="shared" si="6"/>
        <v/>
      </c>
      <c r="G62" s="512" t="str">
        <f t="shared" si="7"/>
        <v/>
      </c>
      <c r="H62" s="512" t="str">
        <f>IF(C24="","",VLOOKUP(C24,'Portfolio Bucket'!$N$3:$T$69,7,FALSE))</f>
        <v/>
      </c>
      <c r="I62" s="509" t="str">
        <f t="shared" si="8"/>
        <v/>
      </c>
      <c r="J62" s="491" t="str">
        <f t="shared" si="9"/>
        <v/>
      </c>
      <c r="Q62" s="315"/>
      <c r="S62" s="42"/>
      <c r="T62" s="316"/>
    </row>
    <row r="63" spans="3:20" ht="17.25" customHeight="1" x14ac:dyDescent="0.2">
      <c r="C63" s="510" t="str">
        <f t="shared" si="5"/>
        <v/>
      </c>
      <c r="D63" s="45" t="str">
        <f>IF(C25="","",VLOOKUP(C25,'ETF List'!$C$1:$J$200,3,0))</f>
        <v/>
      </c>
      <c r="E63" s="45" t="str">
        <f>IF(C63="","",VLOOKUP(C63,'ETF List'!$C$1:$J$200,4,0))</f>
        <v/>
      </c>
      <c r="F63" s="511" t="str">
        <f t="shared" si="6"/>
        <v/>
      </c>
      <c r="G63" s="512" t="str">
        <f t="shared" si="7"/>
        <v/>
      </c>
      <c r="H63" s="512" t="str">
        <f>IF(C25="","",VLOOKUP(C25,'Portfolio Bucket'!$N$3:$T$69,7,FALSE))</f>
        <v/>
      </c>
      <c r="I63" s="509" t="str">
        <f t="shared" si="8"/>
        <v/>
      </c>
      <c r="J63" s="491" t="str">
        <f t="shared" si="9"/>
        <v/>
      </c>
      <c r="Q63" s="315"/>
      <c r="S63" s="42"/>
      <c r="T63" s="316"/>
    </row>
    <row r="64" spans="3:20" ht="17.25" customHeight="1" x14ac:dyDescent="0.2">
      <c r="C64" s="510" t="str">
        <f t="shared" si="5"/>
        <v/>
      </c>
      <c r="D64" s="45" t="str">
        <f>IF(C26="","",VLOOKUP(C26,'ETF List'!$C$1:$J$200,3,0))</f>
        <v/>
      </c>
      <c r="E64" s="45" t="str">
        <f>IF(C64="","",VLOOKUP(C64,'ETF List'!$C$1:$J$200,4,0))</f>
        <v/>
      </c>
      <c r="F64" s="511" t="str">
        <f t="shared" si="6"/>
        <v/>
      </c>
      <c r="G64" s="512" t="str">
        <f t="shared" si="7"/>
        <v/>
      </c>
      <c r="H64" s="512" t="str">
        <f>IF(C26="","",VLOOKUP(C26,'Portfolio Bucket'!$N$3:$T$69,7,FALSE))</f>
        <v/>
      </c>
      <c r="I64" s="509" t="str">
        <f t="shared" si="8"/>
        <v/>
      </c>
      <c r="J64" s="491" t="str">
        <f t="shared" si="9"/>
        <v/>
      </c>
      <c r="Q64" s="315"/>
      <c r="S64" s="42"/>
      <c r="T64" s="316"/>
    </row>
    <row r="65" spans="3:20" ht="17.25" customHeight="1" x14ac:dyDescent="0.2">
      <c r="C65" s="510" t="str">
        <f t="shared" si="5"/>
        <v/>
      </c>
      <c r="D65" s="45" t="str">
        <f>IF(C27="","",VLOOKUP(C27,'ETF List'!$C$1:$J$200,3,0))</f>
        <v/>
      </c>
      <c r="E65" s="45" t="str">
        <f>IF(C65="","",VLOOKUP(C65,'ETF List'!$C$1:$J$200,4,0))</f>
        <v/>
      </c>
      <c r="F65" s="511" t="str">
        <f t="shared" si="6"/>
        <v/>
      </c>
      <c r="G65" s="512" t="str">
        <f t="shared" si="7"/>
        <v/>
      </c>
      <c r="H65" s="512" t="str">
        <f>IF(C27="","",VLOOKUP(C27,'Portfolio Bucket'!$N$3:$T$69,7,FALSE))</f>
        <v/>
      </c>
      <c r="I65" s="509" t="str">
        <f t="shared" si="8"/>
        <v/>
      </c>
      <c r="J65" s="491" t="str">
        <f t="shared" si="9"/>
        <v/>
      </c>
      <c r="Q65" s="315"/>
      <c r="S65" s="42"/>
      <c r="T65" s="316"/>
    </row>
    <row r="66" spans="3:20" ht="17.25" customHeight="1" x14ac:dyDescent="0.2">
      <c r="C66" s="510" t="str">
        <f t="shared" si="5"/>
        <v/>
      </c>
      <c r="D66" s="45" t="str">
        <f>IF(C28="","",VLOOKUP(C28,'ETF List'!$C$1:$J$200,3,0))</f>
        <v/>
      </c>
      <c r="E66" s="45" t="str">
        <f>IF(C66="","",VLOOKUP(C66,'ETF List'!$C$1:$J$200,4,0))</f>
        <v/>
      </c>
      <c r="F66" s="511" t="str">
        <f t="shared" si="6"/>
        <v/>
      </c>
      <c r="G66" s="512" t="str">
        <f t="shared" si="7"/>
        <v/>
      </c>
      <c r="H66" s="512" t="str">
        <f>IF(C28="","",VLOOKUP(C28,'Portfolio Bucket'!$N$3:$T$69,7,FALSE))</f>
        <v/>
      </c>
      <c r="I66" s="509" t="str">
        <f t="shared" si="8"/>
        <v/>
      </c>
      <c r="J66" s="491" t="str">
        <f t="shared" si="9"/>
        <v/>
      </c>
      <c r="Q66" s="315"/>
      <c r="S66" s="42"/>
      <c r="T66" s="316"/>
    </row>
    <row r="67" spans="3:20" ht="17.25" customHeight="1" x14ac:dyDescent="0.2">
      <c r="C67" s="510" t="str">
        <f t="shared" si="5"/>
        <v/>
      </c>
      <c r="D67" s="45" t="str">
        <f>IF(C29="","",VLOOKUP(C29,'ETF List'!$C$1:$J$200,3,0))</f>
        <v/>
      </c>
      <c r="E67" s="45" t="str">
        <f>IF(C67="","",VLOOKUP(C67,'ETF List'!$C$1:$J$200,4,0))</f>
        <v/>
      </c>
      <c r="F67" s="511" t="str">
        <f t="shared" si="6"/>
        <v/>
      </c>
      <c r="G67" s="512" t="str">
        <f t="shared" si="7"/>
        <v/>
      </c>
      <c r="H67" s="512" t="str">
        <f>IF(C29="","",VLOOKUP(C29,'Portfolio Bucket'!$N$3:$T$69,7,FALSE))</f>
        <v/>
      </c>
      <c r="I67" s="509" t="str">
        <f t="shared" si="8"/>
        <v/>
      </c>
      <c r="J67" s="491" t="str">
        <f t="shared" si="9"/>
        <v/>
      </c>
      <c r="Q67" s="315"/>
      <c r="S67" s="42"/>
      <c r="T67" s="316"/>
    </row>
    <row r="68" spans="3:20" ht="17.25" customHeight="1" x14ac:dyDescent="0.2">
      <c r="C68" s="510" t="str">
        <f t="shared" si="5"/>
        <v/>
      </c>
      <c r="D68" s="45" t="str">
        <f>IF(C30="","",VLOOKUP(C30,'ETF List'!$C$1:$J$200,3,0))</f>
        <v/>
      </c>
      <c r="E68" s="45" t="str">
        <f>IF(C68="","",VLOOKUP(C68,'ETF List'!$C$1:$J$200,4,0))</f>
        <v/>
      </c>
      <c r="F68" s="511" t="str">
        <f t="shared" si="6"/>
        <v/>
      </c>
      <c r="G68" s="512" t="str">
        <f t="shared" si="7"/>
        <v/>
      </c>
      <c r="H68" s="512" t="str">
        <f>IF(C30="","",VLOOKUP(C30,'Portfolio Bucket'!$N$3:$T$69,7,FALSE))</f>
        <v/>
      </c>
      <c r="I68" s="509" t="str">
        <f t="shared" si="8"/>
        <v/>
      </c>
      <c r="J68" s="491" t="str">
        <f t="shared" si="9"/>
        <v/>
      </c>
      <c r="Q68" s="315"/>
      <c r="S68" s="42"/>
      <c r="T68" s="316"/>
    </row>
    <row r="69" spans="3:20" ht="17.25" customHeight="1" x14ac:dyDescent="0.2">
      <c r="C69" s="510" t="str">
        <f t="shared" si="5"/>
        <v/>
      </c>
      <c r="D69" s="45" t="str">
        <f>IF(C31="","",VLOOKUP(C31,'ETF List'!$C$1:$J$200,3,0))</f>
        <v/>
      </c>
      <c r="E69" s="45" t="str">
        <f>IF(C69="","",VLOOKUP(C69,'ETF List'!$C$1:$J$200,4,0))</f>
        <v/>
      </c>
      <c r="F69" s="511" t="str">
        <f t="shared" si="6"/>
        <v/>
      </c>
      <c r="G69" s="512" t="str">
        <f t="shared" si="7"/>
        <v/>
      </c>
      <c r="H69" s="512" t="str">
        <f>IF(C31="","",VLOOKUP(C31,'Portfolio Bucket'!$N$3:$T$69,7,FALSE))</f>
        <v/>
      </c>
      <c r="I69" s="509" t="str">
        <f t="shared" si="8"/>
        <v/>
      </c>
      <c r="J69" s="491" t="str">
        <f t="shared" si="9"/>
        <v/>
      </c>
      <c r="Q69" s="315"/>
      <c r="S69" s="42"/>
      <c r="T69" s="316"/>
    </row>
    <row r="70" spans="3:20" ht="17.25" customHeight="1" x14ac:dyDescent="0.2">
      <c r="C70" s="510" t="str">
        <f t="shared" si="5"/>
        <v/>
      </c>
      <c r="D70" s="45" t="str">
        <f>IF(C32="","",VLOOKUP(C32,'ETF List'!$C$1:$J$200,3,0))</f>
        <v/>
      </c>
      <c r="E70" s="45" t="str">
        <f>IF(C70="","",VLOOKUP(C70,'ETF List'!$C$1:$J$200,4,0))</f>
        <v/>
      </c>
      <c r="F70" s="511" t="str">
        <f t="shared" si="6"/>
        <v/>
      </c>
      <c r="G70" s="512" t="str">
        <f t="shared" si="7"/>
        <v/>
      </c>
      <c r="H70" s="512" t="str">
        <f>IF(C32="","",VLOOKUP(C32,'Portfolio Bucket'!$N$3:$T$69,7,FALSE))</f>
        <v/>
      </c>
      <c r="I70" s="509" t="str">
        <f t="shared" si="8"/>
        <v/>
      </c>
      <c r="J70" s="491" t="str">
        <f t="shared" si="9"/>
        <v/>
      </c>
      <c r="Q70" s="315"/>
      <c r="S70" s="42"/>
      <c r="T70" s="316"/>
    </row>
    <row r="71" spans="3:20" ht="17.25" customHeight="1" x14ac:dyDescent="0.2">
      <c r="C71" s="510" t="str">
        <f t="shared" si="5"/>
        <v/>
      </c>
      <c r="D71" s="45" t="str">
        <f>IF(C33="","",VLOOKUP(C33,'ETF List'!$C$1:$J$200,3,0))</f>
        <v/>
      </c>
      <c r="E71" s="45" t="str">
        <f>IF(C71="","",VLOOKUP(C71,'ETF List'!$C$1:$J$200,4,0))</f>
        <v/>
      </c>
      <c r="F71" s="511" t="str">
        <f t="shared" si="6"/>
        <v/>
      </c>
      <c r="G71" s="512" t="str">
        <f t="shared" si="7"/>
        <v/>
      </c>
      <c r="H71" s="512" t="str">
        <f>IF(C33="","",VLOOKUP(C33,'Portfolio Bucket'!$N$3:$T$69,7,FALSE))</f>
        <v/>
      </c>
      <c r="I71" s="509" t="str">
        <f t="shared" si="8"/>
        <v/>
      </c>
      <c r="J71" s="491" t="str">
        <f t="shared" si="9"/>
        <v/>
      </c>
      <c r="Q71" s="315"/>
      <c r="S71" s="42"/>
      <c r="T71" s="316"/>
    </row>
    <row r="72" spans="3:20" ht="17.25" customHeight="1" x14ac:dyDescent="0.2">
      <c r="C72" s="510" t="str">
        <f t="shared" si="5"/>
        <v/>
      </c>
      <c r="D72" s="45" t="str">
        <f>IF(C34="","",VLOOKUP(C34,'ETF List'!$C$1:$J$200,3,0))</f>
        <v/>
      </c>
      <c r="E72" s="45" t="str">
        <f>IF(C72="","",VLOOKUP(C72,'ETF List'!$C$1:$J$200,4,0))</f>
        <v/>
      </c>
      <c r="F72" s="511" t="str">
        <f t="shared" si="6"/>
        <v/>
      </c>
      <c r="G72" s="512" t="str">
        <f t="shared" si="7"/>
        <v/>
      </c>
      <c r="H72" s="512" t="str">
        <f>IF(C34="","",VLOOKUP(C34,'Portfolio Bucket'!$N$3:$T$69,7,FALSE))</f>
        <v/>
      </c>
      <c r="I72" s="509" t="str">
        <f t="shared" si="8"/>
        <v/>
      </c>
      <c r="J72" s="491" t="str">
        <f t="shared" si="9"/>
        <v/>
      </c>
      <c r="Q72" s="315"/>
      <c r="S72" s="42"/>
      <c r="T72" s="316"/>
    </row>
    <row r="73" spans="3:20" ht="17.25" customHeight="1" x14ac:dyDescent="0.2">
      <c r="C73" s="510" t="str">
        <f t="shared" si="5"/>
        <v/>
      </c>
      <c r="D73" s="45" t="str">
        <f>IF(C35="","",VLOOKUP(C35,'ETF List'!$C$1:$J$200,3,0))</f>
        <v/>
      </c>
      <c r="E73" s="45" t="str">
        <f>IF(C73="","",VLOOKUP(C73,'ETF List'!$C$1:$J$200,4,0))</f>
        <v/>
      </c>
      <c r="F73" s="511" t="str">
        <f t="shared" si="6"/>
        <v/>
      </c>
      <c r="G73" s="512" t="str">
        <f t="shared" si="7"/>
        <v/>
      </c>
      <c r="H73" s="512" t="str">
        <f>IF(C35="","",VLOOKUP(C35,'Portfolio Bucket'!$N$3:$T$69,7,FALSE))</f>
        <v/>
      </c>
      <c r="I73" s="509" t="str">
        <f t="shared" si="8"/>
        <v/>
      </c>
      <c r="J73" s="491" t="str">
        <f t="shared" si="9"/>
        <v/>
      </c>
      <c r="Q73" s="315"/>
      <c r="S73" s="42"/>
      <c r="T73" s="316"/>
    </row>
    <row r="74" spans="3:20" ht="17.25" customHeight="1" x14ac:dyDescent="0.2">
      <c r="C74" s="510" t="str">
        <f t="shared" si="5"/>
        <v/>
      </c>
      <c r="D74" s="45" t="str">
        <f>IF(C36="","",VLOOKUP(C36,'ETF List'!$C$1:$J$200,3,0))</f>
        <v/>
      </c>
      <c r="E74" s="45" t="str">
        <f>IF(C74="","",VLOOKUP(C74,'ETF List'!$C$1:$J$200,4,0))</f>
        <v/>
      </c>
      <c r="F74" s="511" t="str">
        <f t="shared" si="6"/>
        <v/>
      </c>
      <c r="G74" s="512" t="str">
        <f t="shared" si="7"/>
        <v/>
      </c>
      <c r="H74" s="512" t="str">
        <f>IF(C36="","",VLOOKUP(C36,'Portfolio Bucket'!$N$3:$T$69,7,FALSE))</f>
        <v/>
      </c>
      <c r="I74" s="509" t="str">
        <f t="shared" si="8"/>
        <v/>
      </c>
      <c r="J74" s="491" t="str">
        <f t="shared" si="9"/>
        <v/>
      </c>
      <c r="Q74" s="315"/>
      <c r="S74" s="42"/>
      <c r="T74" s="316"/>
    </row>
    <row r="75" spans="3:20" ht="17.25" customHeight="1" x14ac:dyDescent="0.2">
      <c r="C75" s="510" t="str">
        <f t="shared" si="5"/>
        <v/>
      </c>
      <c r="D75" s="45" t="str">
        <f>IF(C37="","",VLOOKUP(C37,'ETF List'!$C$1:$J$200,3,0))</f>
        <v/>
      </c>
      <c r="E75" s="45" t="str">
        <f>IF(C75="","",VLOOKUP(C75,'ETF List'!$C$1:$J$200,4,0))</f>
        <v/>
      </c>
      <c r="F75" s="511" t="str">
        <f t="shared" si="6"/>
        <v/>
      </c>
      <c r="G75" s="512" t="str">
        <f t="shared" si="7"/>
        <v/>
      </c>
      <c r="H75" s="512" t="str">
        <f>IF(C37="","",VLOOKUP(C37,'Portfolio Bucket'!$N$3:$T$69,7,FALSE))</f>
        <v/>
      </c>
      <c r="I75" s="509" t="str">
        <f t="shared" si="8"/>
        <v/>
      </c>
      <c r="J75" s="491" t="str">
        <f t="shared" si="9"/>
        <v/>
      </c>
      <c r="Q75" s="315"/>
      <c r="S75" s="42"/>
      <c r="T75" s="316"/>
    </row>
    <row r="76" spans="3:20" ht="17.25" customHeight="1" x14ac:dyDescent="0.2">
      <c r="C76" s="510" t="str">
        <f t="shared" si="5"/>
        <v/>
      </c>
      <c r="D76" s="45" t="str">
        <f>IF(C38="","",VLOOKUP(C38,'ETF List'!$C$1:$J$200,3,0))</f>
        <v/>
      </c>
      <c r="E76" s="45" t="str">
        <f>IF(C76="","",VLOOKUP(C76,'ETF List'!$C$1:$J$200,4,0))</f>
        <v/>
      </c>
      <c r="F76" s="511" t="str">
        <f t="shared" si="6"/>
        <v/>
      </c>
      <c r="G76" s="512" t="str">
        <f t="shared" si="7"/>
        <v/>
      </c>
      <c r="H76" s="512" t="str">
        <f>IF(C38="","",VLOOKUP(C38,'Portfolio Bucket'!$N$3:$T$69,7,FALSE))</f>
        <v/>
      </c>
      <c r="I76" s="509" t="str">
        <f t="shared" si="8"/>
        <v/>
      </c>
      <c r="J76" s="491" t="str">
        <f t="shared" si="9"/>
        <v/>
      </c>
      <c r="Q76" s="315"/>
      <c r="S76" s="42"/>
      <c r="T76" s="316"/>
    </row>
    <row r="77" spans="3:20" ht="17.25" customHeight="1" x14ac:dyDescent="0.2">
      <c r="C77" s="513" t="str">
        <f t="shared" si="5"/>
        <v/>
      </c>
      <c r="D77" s="514" t="str">
        <f>IF(C39="","",VLOOKUP(C39,'ETF List'!$C$1:$J$200,3,0))</f>
        <v/>
      </c>
      <c r="E77" s="514" t="str">
        <f>IF(C77="","",VLOOKUP(C77,'ETF List'!$C$1:$J$200,4,0))</f>
        <v/>
      </c>
      <c r="F77" s="515" t="str">
        <f t="shared" si="6"/>
        <v/>
      </c>
      <c r="G77" s="516" t="str">
        <f t="shared" si="7"/>
        <v/>
      </c>
      <c r="H77" s="516" t="str">
        <f>IF(C39="","",VLOOKUP(C39,'Portfolio Bucket'!$N$3:$T$69,7,FALSE))</f>
        <v/>
      </c>
      <c r="I77" s="517" t="str">
        <f t="shared" si="8"/>
        <v/>
      </c>
      <c r="J77" s="499" t="str">
        <f t="shared" si="9"/>
        <v/>
      </c>
      <c r="Q77" s="315"/>
      <c r="S77" s="42"/>
      <c r="T77" s="316"/>
    </row>
    <row r="78" spans="3:20" ht="17.25" customHeight="1" x14ac:dyDescent="0.2">
      <c r="C78" s="322"/>
      <c r="Q78" s="315"/>
      <c r="S78" s="42"/>
      <c r="T78" s="316"/>
    </row>
    <row r="79" spans="3:20" ht="17.25" customHeight="1" x14ac:dyDescent="0.2">
      <c r="C79" s="322"/>
      <c r="D79" s="323"/>
      <c r="E79" s="323"/>
      <c r="F79" s="323"/>
      <c r="G79" s="323"/>
      <c r="H79" s="273"/>
      <c r="I79" s="324"/>
      <c r="J79" s="325"/>
      <c r="K79" s="326"/>
      <c r="Q79" s="315"/>
      <c r="S79" s="42"/>
      <c r="T79" s="316"/>
    </row>
    <row r="80" spans="3:20" ht="17.25" customHeight="1" x14ac:dyDescent="0.2">
      <c r="C80" s="322"/>
      <c r="D80" s="323"/>
      <c r="E80" s="323"/>
      <c r="F80" s="323"/>
      <c r="G80" s="323"/>
      <c r="H80" s="273"/>
      <c r="I80" s="324"/>
      <c r="J80" s="325"/>
      <c r="K80" s="326"/>
      <c r="Q80" s="315"/>
      <c r="S80" s="42"/>
      <c r="T80" s="316"/>
    </row>
    <row r="81" spans="3:20" ht="17.25" customHeight="1" x14ac:dyDescent="0.2">
      <c r="C81" s="322"/>
      <c r="D81" s="323"/>
      <c r="E81" s="323"/>
      <c r="F81" s="323"/>
      <c r="G81" s="323"/>
      <c r="H81" s="273"/>
      <c r="I81" s="324"/>
      <c r="J81" s="325"/>
      <c r="K81" s="326"/>
      <c r="Q81" s="315"/>
      <c r="S81" s="42"/>
      <c r="T81" s="316"/>
    </row>
    <row r="82" spans="3:20" ht="17.25" customHeight="1" x14ac:dyDescent="0.2">
      <c r="C82" s="322"/>
      <c r="D82" s="323"/>
      <c r="E82" s="323"/>
      <c r="F82" s="323"/>
      <c r="G82" s="323"/>
      <c r="H82" s="273"/>
      <c r="I82" s="324"/>
      <c r="J82" s="325"/>
      <c r="K82" s="326"/>
      <c r="Q82" s="315"/>
      <c r="S82" s="42"/>
      <c r="T82" s="316"/>
    </row>
    <row r="83" spans="3:20" ht="17.25" customHeight="1" x14ac:dyDescent="0.2">
      <c r="C83" s="322"/>
      <c r="D83" s="323"/>
      <c r="E83" s="323"/>
      <c r="F83" s="323"/>
      <c r="G83" s="323"/>
      <c r="H83" s="273"/>
      <c r="I83" s="324"/>
      <c r="J83" s="325"/>
      <c r="K83" s="326"/>
      <c r="Q83" s="315"/>
      <c r="S83" s="42"/>
      <c r="T83" s="316"/>
    </row>
    <row r="84" spans="3:20" ht="17.25" customHeight="1" x14ac:dyDescent="0.2">
      <c r="C84" s="322"/>
      <c r="D84" s="323"/>
      <c r="E84" s="323"/>
      <c r="F84" s="323"/>
      <c r="G84" s="323"/>
      <c r="H84" s="273"/>
      <c r="I84" s="324"/>
      <c r="J84" s="325"/>
      <c r="K84" s="326"/>
      <c r="Q84" s="315"/>
      <c r="S84" s="42"/>
      <c r="T84" s="316"/>
    </row>
    <row r="85" spans="3:20" ht="17.25" customHeight="1" x14ac:dyDescent="0.2">
      <c r="C85" s="322"/>
      <c r="D85" s="323"/>
      <c r="E85" s="323"/>
      <c r="F85" s="323"/>
      <c r="G85" s="323"/>
      <c r="H85" s="273"/>
      <c r="I85" s="324"/>
      <c r="J85" s="325"/>
      <c r="K85" s="326"/>
      <c r="Q85" s="315"/>
      <c r="S85" s="42"/>
      <c r="T85" s="316"/>
    </row>
    <row r="86" spans="3:20" ht="17.25" customHeight="1" x14ac:dyDescent="0.2">
      <c r="C86" s="322"/>
      <c r="D86" s="323"/>
      <c r="E86" s="323"/>
      <c r="F86" s="323"/>
      <c r="G86" s="323"/>
      <c r="H86" s="273"/>
      <c r="I86" s="324"/>
      <c r="J86" s="325"/>
      <c r="K86" s="326"/>
      <c r="Q86" s="315"/>
      <c r="S86" s="42"/>
      <c r="T86" s="316"/>
    </row>
    <row r="87" spans="3:20" ht="17.25" customHeight="1" x14ac:dyDescent="0.2">
      <c r="C87" s="322"/>
      <c r="D87" s="323"/>
      <c r="E87" s="323"/>
      <c r="F87" s="323"/>
      <c r="G87" s="323"/>
      <c r="H87" s="273"/>
      <c r="I87" s="324"/>
      <c r="J87" s="325"/>
      <c r="K87" s="326"/>
      <c r="Q87" s="315"/>
      <c r="S87" s="42"/>
      <c r="T87" s="316"/>
    </row>
    <row r="88" spans="3:20" ht="17.25" customHeight="1" x14ac:dyDescent="0.2">
      <c r="C88" s="322"/>
      <c r="D88" s="323"/>
      <c r="E88" s="323"/>
      <c r="F88" s="323"/>
      <c r="G88" s="323"/>
      <c r="H88" s="273"/>
      <c r="I88" s="324"/>
      <c r="J88" s="325"/>
      <c r="K88" s="326"/>
      <c r="Q88" s="315"/>
      <c r="S88" s="42"/>
      <c r="T88" s="316"/>
    </row>
    <row r="89" spans="3:20" ht="17.25" customHeight="1" x14ac:dyDescent="0.2">
      <c r="C89" s="322"/>
      <c r="D89" s="323"/>
      <c r="E89" s="323"/>
      <c r="F89" s="323"/>
      <c r="G89" s="323"/>
      <c r="H89" s="273"/>
      <c r="I89" s="324"/>
      <c r="J89" s="325"/>
      <c r="K89" s="326"/>
      <c r="Q89" s="315"/>
      <c r="S89" s="42"/>
      <c r="T89" s="316"/>
    </row>
    <row r="90" spans="3:20" ht="17.25" customHeight="1" x14ac:dyDescent="0.2">
      <c r="C90" s="322"/>
      <c r="D90" s="323"/>
      <c r="E90" s="323"/>
      <c r="F90" s="323"/>
      <c r="G90" s="323"/>
      <c r="H90" s="273"/>
      <c r="I90" s="324"/>
      <c r="J90" s="325"/>
      <c r="K90" s="326"/>
      <c r="Q90" s="315"/>
      <c r="S90" s="42"/>
      <c r="T90" s="316"/>
    </row>
    <row r="91" spans="3:20" ht="17.25" customHeight="1" x14ac:dyDescent="0.2">
      <c r="C91" s="322"/>
      <c r="D91" s="323"/>
      <c r="E91" s="323"/>
      <c r="F91" s="323"/>
      <c r="G91" s="323"/>
      <c r="H91" s="273"/>
      <c r="I91" s="324"/>
      <c r="J91" s="325"/>
      <c r="K91" s="326"/>
      <c r="Q91" s="315"/>
      <c r="S91" s="42"/>
      <c r="T91" s="316"/>
    </row>
    <row r="92" spans="3:20" ht="17.25" customHeight="1" x14ac:dyDescent="0.2">
      <c r="C92" s="322"/>
      <c r="D92" s="323"/>
      <c r="E92" s="323"/>
      <c r="F92" s="323"/>
      <c r="G92" s="323"/>
      <c r="H92" s="273"/>
      <c r="I92" s="324"/>
      <c r="J92" s="325"/>
      <c r="K92" s="326"/>
      <c r="Q92" s="315"/>
      <c r="S92" s="42"/>
      <c r="T92" s="316"/>
    </row>
    <row r="93" spans="3:20" ht="17.25" customHeight="1" x14ac:dyDescent="0.2">
      <c r="C93" s="322"/>
      <c r="D93" s="323"/>
      <c r="E93" s="323"/>
      <c r="F93" s="323"/>
      <c r="G93" s="323"/>
      <c r="H93" s="273"/>
      <c r="I93" s="324"/>
      <c r="J93" s="325"/>
      <c r="K93" s="326"/>
      <c r="Q93" s="315"/>
      <c r="S93" s="42"/>
      <c r="T93" s="316"/>
    </row>
    <row r="94" spans="3:20" ht="17.25" customHeight="1" x14ac:dyDescent="0.2">
      <c r="C94" s="322"/>
      <c r="D94" s="323"/>
      <c r="E94" s="323"/>
      <c r="F94" s="323"/>
      <c r="G94" s="323"/>
      <c r="H94" s="273"/>
      <c r="I94" s="324"/>
      <c r="J94" s="325"/>
      <c r="K94" s="326"/>
      <c r="Q94" s="315"/>
      <c r="S94" s="42"/>
      <c r="T94" s="316"/>
    </row>
    <row r="95" spans="3:20" ht="17.25" customHeight="1" x14ac:dyDescent="0.2">
      <c r="C95" s="322"/>
      <c r="D95" s="323"/>
      <c r="E95" s="323"/>
      <c r="F95" s="323"/>
      <c r="G95" s="323"/>
      <c r="H95" s="273"/>
      <c r="I95" s="324"/>
      <c r="J95" s="325"/>
      <c r="K95" s="326"/>
      <c r="Q95" s="315"/>
      <c r="S95" s="42"/>
      <c r="T95" s="316"/>
    </row>
    <row r="96" spans="3:20" ht="17.25" customHeight="1" x14ac:dyDescent="0.2">
      <c r="C96" s="322"/>
      <c r="D96" s="323"/>
      <c r="E96" s="323"/>
      <c r="F96" s="323"/>
      <c r="G96" s="323"/>
      <c r="H96" s="273"/>
      <c r="I96" s="324"/>
      <c r="J96" s="325"/>
      <c r="K96" s="326"/>
      <c r="Q96" s="315"/>
      <c r="S96" s="42"/>
      <c r="T96" s="316"/>
    </row>
    <row r="97" spans="3:22" ht="17.25" customHeight="1" x14ac:dyDescent="0.2">
      <c r="C97" s="322"/>
      <c r="D97" s="323"/>
      <c r="E97" s="323"/>
      <c r="F97" s="323"/>
      <c r="G97" s="323"/>
      <c r="H97" s="273"/>
      <c r="I97" s="324"/>
      <c r="J97" s="325"/>
      <c r="K97" s="326"/>
      <c r="Q97" s="315"/>
      <c r="S97" s="42"/>
      <c r="T97" s="316"/>
    </row>
    <row r="98" spans="3:22" ht="17.25" customHeight="1" x14ac:dyDescent="0.2">
      <c r="C98" s="322"/>
      <c r="D98" s="323"/>
      <c r="E98" s="323"/>
      <c r="F98" s="323"/>
      <c r="G98" s="323"/>
      <c r="H98" s="273"/>
      <c r="I98" s="324"/>
      <c r="J98" s="325"/>
      <c r="K98" s="326"/>
      <c r="Q98" s="315"/>
      <c r="S98" s="42"/>
      <c r="T98" s="316"/>
    </row>
    <row r="99" spans="3:22" ht="17.25" customHeight="1" x14ac:dyDescent="0.2">
      <c r="C99" s="322"/>
      <c r="D99" s="323"/>
      <c r="E99" s="323"/>
      <c r="F99" s="323"/>
      <c r="G99" s="323"/>
      <c r="H99" s="273"/>
      <c r="I99" s="324"/>
      <c r="J99" s="325"/>
      <c r="K99" s="326"/>
      <c r="Q99" s="315"/>
      <c r="S99" s="42"/>
      <c r="T99" s="316"/>
    </row>
    <row r="100" spans="3:22" ht="17.25" customHeight="1" x14ac:dyDescent="0.2">
      <c r="C100" s="322"/>
      <c r="D100" s="323"/>
      <c r="E100" s="323"/>
      <c r="F100" s="323"/>
      <c r="G100" s="323"/>
      <c r="H100" s="273"/>
      <c r="I100" s="324"/>
      <c r="J100" s="325"/>
      <c r="K100" s="326"/>
      <c r="Q100" s="315"/>
      <c r="S100" s="42"/>
      <c r="T100" s="316"/>
    </row>
    <row r="101" spans="3:22" ht="17.25" customHeight="1" x14ac:dyDescent="0.2">
      <c r="C101" s="322"/>
      <c r="D101" s="323"/>
      <c r="E101" s="323"/>
      <c r="F101" s="323"/>
      <c r="G101" s="323"/>
      <c r="H101" s="273"/>
      <c r="I101" s="324"/>
      <c r="J101" s="325"/>
      <c r="K101" s="326"/>
      <c r="Q101" s="315"/>
      <c r="S101" s="42"/>
      <c r="T101" s="316"/>
    </row>
    <row r="102" spans="3:22" ht="17.25" customHeight="1" x14ac:dyDescent="0.2">
      <c r="C102" s="322"/>
      <c r="D102" s="323"/>
      <c r="E102" s="323"/>
      <c r="F102" s="323"/>
      <c r="G102" s="323"/>
      <c r="H102" s="273"/>
      <c r="I102" s="324"/>
      <c r="J102" s="325"/>
      <c r="K102" s="326"/>
      <c r="Q102" s="315"/>
      <c r="S102" s="42"/>
      <c r="T102" s="316"/>
    </row>
    <row r="103" spans="3:22" ht="17.25" customHeight="1" x14ac:dyDescent="0.2">
      <c r="C103" s="322"/>
      <c r="D103" s="323"/>
      <c r="E103" s="323"/>
      <c r="F103" s="323"/>
      <c r="G103" s="323"/>
      <c r="H103" s="273"/>
      <c r="I103" s="324"/>
      <c r="J103" s="325"/>
      <c r="K103" s="326"/>
      <c r="Q103" s="315"/>
      <c r="S103" s="42"/>
      <c r="T103" s="316"/>
    </row>
    <row r="104" spans="3:22" ht="17.25" customHeight="1" x14ac:dyDescent="0.2">
      <c r="C104" s="322"/>
      <c r="D104" s="323"/>
      <c r="E104" s="323"/>
      <c r="F104" s="323"/>
      <c r="G104" s="323"/>
      <c r="H104" s="273"/>
      <c r="I104" s="324"/>
      <c r="J104" s="325"/>
      <c r="K104" s="326"/>
      <c r="Q104" s="315"/>
      <c r="S104" s="42"/>
      <c r="T104" s="316"/>
    </row>
    <row r="105" spans="3:22" ht="17.25" customHeight="1" x14ac:dyDescent="0.2">
      <c r="C105" s="322"/>
      <c r="D105" s="323"/>
      <c r="E105" s="323"/>
      <c r="F105" s="323"/>
      <c r="G105" s="323"/>
      <c r="H105" s="273"/>
      <c r="I105" s="324"/>
      <c r="J105" s="325"/>
      <c r="K105" s="326"/>
      <c r="Q105" s="315"/>
      <c r="S105" s="42"/>
      <c r="T105" s="316"/>
    </row>
    <row r="106" spans="3:22" ht="17.25" customHeight="1" x14ac:dyDescent="0.2">
      <c r="C106" s="322"/>
      <c r="D106" s="323"/>
      <c r="E106" s="323"/>
      <c r="F106" s="323"/>
      <c r="G106" s="323"/>
      <c r="H106" s="273"/>
      <c r="I106" s="324"/>
      <c r="J106" s="325"/>
      <c r="K106" s="326"/>
      <c r="Q106" s="315"/>
      <c r="S106" s="42"/>
      <c r="T106" s="316"/>
    </row>
    <row r="107" spans="3:22" ht="17.25" customHeight="1" x14ac:dyDescent="0.2">
      <c r="C107" s="322"/>
      <c r="D107" s="323"/>
      <c r="E107" s="323"/>
      <c r="F107" s="323"/>
      <c r="G107" s="323"/>
      <c r="H107" s="273"/>
      <c r="I107" s="324"/>
      <c r="J107" s="325"/>
      <c r="K107" s="326"/>
      <c r="Q107" s="315"/>
      <c r="S107" s="42"/>
      <c r="T107" s="316"/>
    </row>
    <row r="108" spans="3:22" ht="17.25" customHeight="1" x14ac:dyDescent="0.2">
      <c r="C108" s="322"/>
      <c r="D108" s="323"/>
      <c r="E108" s="323"/>
      <c r="F108" s="323"/>
      <c r="G108" s="323"/>
      <c r="H108" s="273"/>
      <c r="I108" s="324"/>
      <c r="J108" s="325"/>
      <c r="K108" s="326"/>
      <c r="Q108" s="315"/>
      <c r="S108" s="42"/>
      <c r="T108" s="316"/>
    </row>
    <row r="109" spans="3:22" ht="17.25" customHeight="1" x14ac:dyDescent="0.2">
      <c r="C109" s="322"/>
      <c r="D109" s="323"/>
      <c r="E109" s="323"/>
      <c r="F109" s="323"/>
      <c r="G109" s="323"/>
      <c r="H109" s="273"/>
      <c r="I109" s="324"/>
      <c r="J109" s="325"/>
      <c r="K109" s="326"/>
      <c r="Q109" s="315"/>
      <c r="S109" s="42"/>
      <c r="T109" s="316"/>
    </row>
    <row r="110" spans="3:22" ht="17.25" customHeight="1" x14ac:dyDescent="0.2">
      <c r="C110" s="322"/>
      <c r="D110" s="323" t="s">
        <v>433</v>
      </c>
      <c r="E110" s="323"/>
      <c r="F110" s="323"/>
      <c r="G110" s="323"/>
      <c r="H110" s="273"/>
      <c r="I110" s="324"/>
      <c r="J110" s="325"/>
      <c r="K110" s="326"/>
      <c r="Q110" s="315"/>
      <c r="S110" s="42"/>
      <c r="T110" s="316"/>
    </row>
    <row r="111" spans="3:22" s="404" customFormat="1" ht="5" customHeight="1" x14ac:dyDescent="0.2">
      <c r="C111" s="398"/>
      <c r="D111" s="399"/>
      <c r="E111" s="399"/>
      <c r="F111" s="399"/>
      <c r="G111" s="399"/>
      <c r="H111" s="400"/>
      <c r="I111" s="401"/>
      <c r="J111" s="402"/>
      <c r="K111" s="403"/>
      <c r="Q111" s="405"/>
      <c r="S111" s="406"/>
      <c r="T111" s="407"/>
      <c r="U111" s="408"/>
      <c r="V111" s="408"/>
    </row>
    <row r="112" spans="3:22" ht="17.25" customHeight="1" x14ac:dyDescent="0.2">
      <c r="C112" s="322"/>
      <c r="D112" s="323"/>
      <c r="E112" s="323"/>
      <c r="F112" s="323"/>
      <c r="G112" s="323"/>
      <c r="H112" s="273"/>
      <c r="I112" s="324"/>
      <c r="J112" s="325"/>
      <c r="K112" s="326"/>
      <c r="Q112" s="315"/>
      <c r="S112" s="42"/>
      <c r="T112" s="316"/>
    </row>
    <row r="113" spans="1:22" ht="17.25" customHeight="1" x14ac:dyDescent="0.2">
      <c r="C113" s="322"/>
      <c r="D113" s="323"/>
      <c r="E113" s="323"/>
      <c r="F113" s="323"/>
      <c r="G113" s="323"/>
      <c r="H113" s="273"/>
      <c r="I113" s="324"/>
      <c r="J113" s="325"/>
      <c r="K113" s="326"/>
      <c r="Q113" s="315"/>
      <c r="S113" s="42"/>
      <c r="T113" s="316"/>
    </row>
    <row r="114" spans="1:22" ht="17.25" customHeight="1" x14ac:dyDescent="0.2">
      <c r="C114" s="322"/>
      <c r="D114" s="323"/>
      <c r="E114" s="323"/>
      <c r="F114" s="323"/>
      <c r="G114" s="323"/>
      <c r="H114" s="273"/>
      <c r="I114" s="324"/>
      <c r="J114" s="325"/>
      <c r="K114" s="326"/>
      <c r="Q114" s="315"/>
      <c r="S114" s="42"/>
      <c r="T114" s="316"/>
    </row>
    <row r="115" spans="1:22" ht="17.25" customHeight="1" x14ac:dyDescent="0.2">
      <c r="C115" s="322"/>
      <c r="D115" s="323"/>
      <c r="E115" s="323"/>
      <c r="F115" s="323"/>
      <c r="G115" s="323"/>
      <c r="H115" s="273"/>
      <c r="I115" s="324"/>
      <c r="J115" s="325"/>
      <c r="K115" s="326"/>
      <c r="Q115" s="315"/>
      <c r="S115" s="42"/>
      <c r="T115" s="316"/>
    </row>
    <row r="116" spans="1:22" ht="17.25" customHeight="1" x14ac:dyDescent="0.2">
      <c r="C116" s="322"/>
      <c r="D116" s="323"/>
      <c r="E116" s="323"/>
      <c r="F116" s="323"/>
      <c r="G116" s="323"/>
      <c r="H116" s="273"/>
      <c r="I116" s="324"/>
      <c r="J116" s="325"/>
      <c r="K116" s="326"/>
      <c r="Q116" s="315"/>
      <c r="S116" s="42"/>
      <c r="T116" s="316"/>
    </row>
    <row r="117" spans="1:22" ht="17.25" customHeight="1" x14ac:dyDescent="0.2">
      <c r="C117" s="322"/>
      <c r="D117" s="323"/>
      <c r="E117" s="323"/>
      <c r="F117" s="323"/>
      <c r="G117" s="323"/>
      <c r="H117" s="273"/>
      <c r="I117" s="324"/>
      <c r="J117" s="325"/>
      <c r="K117" s="326"/>
      <c r="Q117" s="315"/>
      <c r="S117" s="42"/>
      <c r="T117" s="316"/>
    </row>
    <row r="118" spans="1:22" ht="17.25" customHeight="1" x14ac:dyDescent="0.2">
      <c r="C118" s="322"/>
      <c r="D118" s="323"/>
      <c r="E118" s="323"/>
      <c r="F118" s="323"/>
      <c r="G118" s="323"/>
      <c r="H118" s="273"/>
      <c r="I118" s="324"/>
      <c r="J118" s="325"/>
      <c r="K118" s="326"/>
      <c r="Q118" s="315"/>
      <c r="S118" s="42"/>
      <c r="T118" s="316"/>
    </row>
    <row r="119" spans="1:22" ht="17.25" customHeight="1" x14ac:dyDescent="0.2">
      <c r="C119" s="322"/>
      <c r="D119" s="323"/>
      <c r="E119" s="323"/>
      <c r="F119" s="323"/>
      <c r="G119" s="323"/>
      <c r="H119" s="273"/>
      <c r="I119" s="324"/>
      <c r="J119" s="325"/>
      <c r="K119" s="326"/>
      <c r="Q119" s="315"/>
      <c r="S119" s="42"/>
      <c r="T119" s="316"/>
    </row>
    <row r="120" spans="1:22" ht="17.25" customHeight="1" x14ac:dyDescent="0.2">
      <c r="C120" s="322"/>
      <c r="D120" s="323"/>
      <c r="E120" s="323"/>
      <c r="F120" s="323"/>
      <c r="G120" s="323"/>
      <c r="H120" s="273"/>
      <c r="I120" s="324"/>
      <c r="J120" s="325"/>
      <c r="K120" s="326"/>
      <c r="Q120" s="315"/>
      <c r="S120" s="42"/>
      <c r="T120" s="316"/>
    </row>
    <row r="121" spans="1:22" ht="17.25" customHeight="1" x14ac:dyDescent="0.2">
      <c r="C121" s="322"/>
      <c r="D121" s="323"/>
      <c r="E121" s="323"/>
      <c r="F121" s="323"/>
      <c r="G121" s="323"/>
      <c r="H121" s="273"/>
      <c r="I121" s="324"/>
      <c r="J121" s="325"/>
      <c r="K121" s="326"/>
      <c r="Q121" s="315"/>
      <c r="S121" s="42"/>
      <c r="T121" s="316"/>
    </row>
    <row r="122" spans="1:22" ht="17.25" customHeight="1" x14ac:dyDescent="0.2">
      <c r="C122" s="322"/>
      <c r="D122" s="323"/>
      <c r="E122" s="323"/>
      <c r="F122" s="323"/>
      <c r="G122" s="323"/>
      <c r="H122" s="273"/>
      <c r="I122" s="324"/>
      <c r="J122" s="325"/>
      <c r="K122" s="326"/>
      <c r="Q122" s="315"/>
      <c r="S122" s="42"/>
      <c r="T122" s="316"/>
    </row>
    <row r="123" spans="1:22" ht="17.25" customHeight="1" x14ac:dyDescent="0.2">
      <c r="C123" s="322"/>
      <c r="D123" s="323"/>
      <c r="E123" s="323"/>
      <c r="F123" s="323"/>
      <c r="G123" s="323"/>
      <c r="H123" s="273"/>
      <c r="I123" s="324"/>
      <c r="J123" s="325"/>
      <c r="K123" s="326"/>
      <c r="Q123" s="315"/>
      <c r="S123" s="42"/>
      <c r="T123" s="316"/>
    </row>
    <row r="124" spans="1:22" ht="17.25" customHeight="1" x14ac:dyDescent="0.2">
      <c r="C124" s="322"/>
      <c r="D124" s="323"/>
      <c r="E124" s="323"/>
      <c r="F124" s="323"/>
      <c r="G124" s="323"/>
      <c r="H124" s="273"/>
      <c r="I124" s="324"/>
      <c r="J124" s="325"/>
      <c r="K124" s="326"/>
      <c r="Q124" s="315"/>
      <c r="S124" s="42"/>
      <c r="T124" s="316"/>
    </row>
    <row r="125" spans="1:22" ht="17.25" customHeight="1" x14ac:dyDescent="0.2">
      <c r="C125" s="322"/>
      <c r="D125" s="323"/>
      <c r="E125" s="323"/>
      <c r="F125" s="323"/>
      <c r="G125" s="323"/>
      <c r="H125" s="273"/>
      <c r="I125" s="324"/>
      <c r="J125" s="325"/>
      <c r="K125" s="326"/>
      <c r="Q125" s="315"/>
      <c r="S125" s="42"/>
      <c r="T125" s="316"/>
    </row>
    <row r="126" spans="1:22" ht="17.25" customHeight="1" x14ac:dyDescent="0.2">
      <c r="A126" s="574"/>
      <c r="B126" s="574"/>
      <c r="C126" s="575"/>
      <c r="D126" s="323"/>
      <c r="E126" s="323"/>
      <c r="F126" s="323"/>
      <c r="G126" s="323"/>
      <c r="H126" s="273"/>
      <c r="I126" s="324"/>
      <c r="J126" s="325"/>
      <c r="K126" s="326"/>
      <c r="Q126" s="315"/>
      <c r="S126" s="42"/>
      <c r="T126" s="316"/>
    </row>
    <row r="127" spans="1:22" ht="17.25" customHeight="1" x14ac:dyDescent="0.2">
      <c r="A127" s="574"/>
      <c r="B127" s="574"/>
      <c r="C127" s="575"/>
      <c r="D127" s="323"/>
      <c r="E127" s="323"/>
      <c r="F127" s="323"/>
      <c r="G127" s="323"/>
      <c r="H127" s="415"/>
      <c r="I127" s="324"/>
      <c r="J127" s="325"/>
      <c r="K127" s="326"/>
      <c r="Q127" s="315"/>
      <c r="S127" s="416"/>
      <c r="T127" s="417"/>
      <c r="U127" s="45"/>
      <c r="V127" s="45"/>
    </row>
    <row r="128" spans="1:22" ht="17.25" customHeight="1" x14ac:dyDescent="0.2">
      <c r="A128" s="574"/>
      <c r="B128" s="574"/>
      <c r="C128" s="575"/>
      <c r="D128" s="323"/>
      <c r="E128" s="323"/>
      <c r="F128" s="323"/>
      <c r="G128" s="323"/>
      <c r="H128" s="415"/>
      <c r="I128" s="324"/>
      <c r="J128" s="325"/>
      <c r="K128" s="326"/>
      <c r="Q128" s="315"/>
      <c r="S128" s="416"/>
      <c r="T128" s="417"/>
      <c r="U128" s="45"/>
      <c r="V128" s="45"/>
    </row>
    <row r="129" spans="1:22" ht="17.25" customHeight="1" x14ac:dyDescent="0.2">
      <c r="A129" s="574"/>
      <c r="B129" s="574"/>
      <c r="C129" s="574"/>
      <c r="T129" s="45"/>
      <c r="U129" s="45"/>
      <c r="V129" s="45"/>
    </row>
    <row r="130" spans="1:22" ht="21" x14ac:dyDescent="0.25">
      <c r="A130" s="574"/>
      <c r="B130" s="574"/>
      <c r="C130" s="576" t="s">
        <v>187</v>
      </c>
      <c r="D130" s="418"/>
      <c r="E130" s="419"/>
      <c r="F130" s="420"/>
      <c r="G130" s="419"/>
      <c r="H130" s="421"/>
      <c r="I130" s="421"/>
      <c r="J130" s="419"/>
      <c r="K130" s="419"/>
      <c r="L130" s="419"/>
      <c r="M130" s="419"/>
      <c r="N130" s="419"/>
      <c r="O130" s="421"/>
      <c r="P130" s="419"/>
      <c r="Q130" s="421"/>
      <c r="R130" s="421"/>
      <c r="S130" s="421"/>
      <c r="T130" s="422"/>
      <c r="U130" s="423"/>
      <c r="V130" s="419"/>
    </row>
    <row r="131" spans="1:22" ht="32" x14ac:dyDescent="0.2">
      <c r="A131" s="574"/>
      <c r="B131" s="574"/>
      <c r="C131" s="577" t="s">
        <v>0</v>
      </c>
      <c r="D131" s="419" t="s">
        <v>1</v>
      </c>
      <c r="E131" s="421" t="s">
        <v>411</v>
      </c>
      <c r="F131" s="421" t="s">
        <v>171</v>
      </c>
      <c r="G131" s="421" t="s">
        <v>156</v>
      </c>
      <c r="H131" s="421" t="s">
        <v>154</v>
      </c>
      <c r="I131" s="421" t="s">
        <v>412</v>
      </c>
      <c r="J131" s="421" t="s">
        <v>172</v>
      </c>
      <c r="K131" s="421" t="s">
        <v>157</v>
      </c>
      <c r="L131" s="421" t="s">
        <v>183</v>
      </c>
      <c r="M131" s="421" t="s">
        <v>418</v>
      </c>
      <c r="N131" s="421" t="s">
        <v>413</v>
      </c>
      <c r="O131" s="421" t="s">
        <v>182</v>
      </c>
      <c r="P131" s="421" t="s">
        <v>181</v>
      </c>
      <c r="Q131" s="421" t="s">
        <v>185</v>
      </c>
      <c r="R131" s="421" t="s">
        <v>184</v>
      </c>
      <c r="S131" s="421" t="s">
        <v>186</v>
      </c>
      <c r="T131" s="421" t="s">
        <v>417</v>
      </c>
      <c r="U131" s="419" t="s">
        <v>32</v>
      </c>
      <c r="V131" s="424" t="s">
        <v>152</v>
      </c>
    </row>
    <row r="132" spans="1:22" ht="19" x14ac:dyDescent="0.25">
      <c r="A132" s="574"/>
      <c r="B132" s="574"/>
      <c r="C132" s="577"/>
      <c r="D132" s="419"/>
      <c r="E132" s="421"/>
      <c r="F132" s="421"/>
      <c r="G132" s="421"/>
      <c r="H132" s="421"/>
      <c r="I132" s="421"/>
      <c r="J132" s="421"/>
      <c r="K132" s="421"/>
      <c r="L132" s="425"/>
      <c r="M132" s="425"/>
      <c r="N132" s="425"/>
      <c r="O132" s="426"/>
      <c r="P132" s="427"/>
      <c r="Q132" s="428"/>
      <c r="R132" s="427"/>
      <c r="S132" s="429"/>
      <c r="T132" s="421"/>
      <c r="U132" s="419"/>
      <c r="V132" s="424"/>
    </row>
    <row r="133" spans="1:22" ht="17.25" customHeight="1" x14ac:dyDescent="0.2">
      <c r="A133" s="574"/>
      <c r="B133" s="574"/>
      <c r="C133" s="578"/>
      <c r="D133" s="430" t="s">
        <v>149</v>
      </c>
      <c r="E133" s="431"/>
      <c r="F133" s="431"/>
      <c r="K133" s="431"/>
      <c r="L133" s="431"/>
      <c r="M133" s="431"/>
      <c r="N133" s="431"/>
      <c r="O133" s="416">
        <f>HLOOKUP(E2,'Weekly  Sum'!C3:X20,6,FALSE)</f>
        <v>10025.549999999988</v>
      </c>
      <c r="P133" s="431"/>
      <c r="Q133" s="432"/>
      <c r="R133" s="416"/>
      <c r="S133" s="433"/>
      <c r="T133" s="434"/>
      <c r="U133" s="45" t="s">
        <v>149</v>
      </c>
      <c r="V133" s="45"/>
    </row>
    <row r="134" spans="1:22" ht="17.25" customHeight="1" x14ac:dyDescent="0.2">
      <c r="B134" s="45">
        <v>1</v>
      </c>
      <c r="C134" s="37" t="str">
        <f>IF(ISERROR(VLOOKUP(B134,Trades!$B$9:$C$59,2,FALSE)),"",VLOOKUP(B134,Trades!$B$9:$C$59,2,FALSE))</f>
        <v>BWX</v>
      </c>
      <c r="D134" s="37" t="str">
        <f>IF(C134="","",VLOOKUP(C134,'ETF List'!$C$2:$E$90,3,FALSE))</f>
        <v>SPDR BBG Barclays Intl Treasury</v>
      </c>
      <c r="E134" s="37">
        <f>IF(VLOOKUP($B134,Trades!$B$9:$O$59,6,FALSE)="Buy",VLOOKUP($B134,Trades!$B$9:$O$59,8,FALSE),"")</f>
        <v>10132</v>
      </c>
      <c r="F134" s="38">
        <f>IF(VLOOKUP($B134,Trades!$B$9:$O$59,6,FALSE)="Buy",VLOOKUP($B134,Trades!$B$9:$O$59,10,FALSE),"")</f>
        <v>44265</v>
      </c>
      <c r="G134" s="39">
        <f>IF(VLOOKUP($B134,Trades!$B$9:$O$59,6,FALSE)="Buy",VLOOKUP($B134,Trades!$B$9:$O$59,9,FALSE),"")</f>
        <v>29.61</v>
      </c>
      <c r="H134" s="39">
        <f>IF(C134="","",INDEX('Price Inputs'!$C$5:$J$49,MATCH(C134,'Price Inputs'!$C$5:$C$49,0),MATCH($E$2,'Price Inputs'!$C$5:$J$5,0)))</f>
        <v>29.55</v>
      </c>
      <c r="I134" s="37">
        <f>IF(VLOOKUP($B134,Trades!$B$9:$O$59,6,FALSE)="Sell",VLOOKUP($B134,Trades!$B$9:$O$59,8,FALSE),0)</f>
        <v>0</v>
      </c>
      <c r="J134" s="38" t="str">
        <f>IF(VLOOKUP($B134,Trades!$B$9:$O$59,6,FALSE)="Sell",VLOOKUP($B134,Trades!$B$9:$O$59,12,FALSE),"")</f>
        <v/>
      </c>
      <c r="K134" s="39" t="str">
        <f>IF(VLOOKUP($B134,Trades!$B$9:$O$59,6,FALSE)="Sell",VLOOKUP($B134,Trades!$B$9:$O$59,13,FALSE),"")</f>
        <v/>
      </c>
      <c r="L134" s="40">
        <f>IF(E134="","",E134*G134)</f>
        <v>300008.52</v>
      </c>
      <c r="M134" s="40">
        <f>VLOOKUP(C134,'Portfolio Bucket'!$N$3:$Q$69,4,FALSE)</f>
        <v>29.610000000000003</v>
      </c>
      <c r="N134" s="40">
        <f>IF(C134="","",VLOOKUP(C134,'Portfolio Bucket'!$N$2:$Q$69,4,FALSE)*I134)</f>
        <v>0</v>
      </c>
      <c r="O134" s="41">
        <f t="shared" ref="O134:O161" si="10">IF(ISNUMBER(H134),T134," ")</f>
        <v>299400.60000000003</v>
      </c>
      <c r="P134" s="42" t="str">
        <f t="shared" ref="P134:P141" si="11">IF(K134="","",I134*K134-N134)</f>
        <v/>
      </c>
      <c r="Q134" s="43" t="str">
        <f t="shared" ref="Q134:Q140" si="12">IF($P134="","",K134*I134/N134-1)</f>
        <v/>
      </c>
      <c r="R134" s="42">
        <f>IF(J134="",O134-L134,0)</f>
        <v>-607.9199999999837</v>
      </c>
      <c r="S134" s="316">
        <f>(H134*E134)/(G134*E134)-1</f>
        <v>-2.0263424518742745E-3</v>
      </c>
      <c r="T134" s="44">
        <f>IF(E134="","",IF(ISNUMBER(K134),0,E134*H134))</f>
        <v>299400.60000000003</v>
      </c>
      <c r="U134" s="36" t="str">
        <f>IF(Trades!E32="","",Trades!E32)</f>
        <v>Intl Equity</v>
      </c>
      <c r="V134" s="36" t="str">
        <f>IF(Trades!F32="","",Trades!F32)</f>
        <v>Developed Mrkts</v>
      </c>
    </row>
    <row r="135" spans="1:22" ht="17.25" customHeight="1" x14ac:dyDescent="0.2">
      <c r="B135" s="45">
        <v>2</v>
      </c>
      <c r="C135" s="37" t="str">
        <f>IF(ISERROR(VLOOKUP(B135,Trades!$B$9:$C$59,2,FALSE)),"",VLOOKUP(B135,Trades!$B$9:$C$59,2,FALSE))</f>
        <v>VTI</v>
      </c>
      <c r="D135" s="37" t="str">
        <f>IF(C135="","",VLOOKUP(C135,'ETF List'!$C$2:$E$90,3,FALSE))</f>
        <v xml:space="preserve">Vanguard Total Stock Mrkt </v>
      </c>
      <c r="E135" s="37">
        <f>IF(VLOOKUP(B135,Trades!$B$9:$O$59,6,FALSE)="Buy",VLOOKUP(B135,Trades!$B$9:$O$59,8,FALSE),"")</f>
        <v>3583</v>
      </c>
      <c r="F135" s="38">
        <f>IF(VLOOKUP($B135,Trades!$B$9:$O$59,6,FALSE)="Buy",VLOOKUP($B135,Trades!$B$9:$O$59,10,FALSE),"")</f>
        <v>44265</v>
      </c>
      <c r="G135" s="39">
        <f>IF(VLOOKUP($B135,Trades!$B$9:$O$59,6,FALSE)="Buy",VLOOKUP($B135,Trades!$B$9:$O$59,9,FALSE),"")</f>
        <v>97.67</v>
      </c>
      <c r="H135" s="39">
        <f>IF(C135="","",INDEX('Price Inputs'!$C$5:$J$49,MATCH(C135,'Price Inputs'!$C$5:$C$49,0),MATCH($E$2,'Price Inputs'!$C$5:$J$5,0)))</f>
        <v>104.23</v>
      </c>
      <c r="I135" s="37">
        <f>IF(VLOOKUP($B135,Trades!$B$9:$O$59,6,FALSE)="Sell",VLOOKUP($B135,Trades!$B$9:$O$59,8,FALSE),0)</f>
        <v>0</v>
      </c>
      <c r="J135" s="38" t="str">
        <f>IF(VLOOKUP($B135,Trades!$B$9:$O$59,6,FALSE)="Sell",VLOOKUP($B135,Trades!$B$9:$O$59,12,FALSE),"")</f>
        <v/>
      </c>
      <c r="K135" s="39" t="str">
        <f>IF(VLOOKUP($B135,Trades!$B$9:$O$59,6,FALSE)="Sell",VLOOKUP($B135,Trades!$B$9:$O$59,13,FALSE),"")</f>
        <v/>
      </c>
      <c r="L135" s="40">
        <f t="shared" ref="L135:L172" si="13">IF(E135="","",E135*G135)</f>
        <v>349951.61</v>
      </c>
      <c r="M135" s="40">
        <f>VLOOKUP(C135,'Portfolio Bucket'!$N$3:$Q$69,4,FALSE)</f>
        <v>97.67</v>
      </c>
      <c r="N135" s="40">
        <f>IF(C135="","",VLOOKUP(C135,'Portfolio Bucket'!$N$2:$Q$69,4,FALSE)*I135)</f>
        <v>0</v>
      </c>
      <c r="O135" s="41">
        <f t="shared" si="10"/>
        <v>373456.09</v>
      </c>
      <c r="P135" s="42" t="str">
        <f t="shared" si="11"/>
        <v/>
      </c>
      <c r="Q135" s="43" t="str">
        <f t="shared" si="12"/>
        <v/>
      </c>
      <c r="R135" s="42">
        <f t="shared" ref="R135:R172" si="14">IF(J135="",O135-L135,0)</f>
        <v>23504.48000000004</v>
      </c>
      <c r="S135" s="316">
        <f t="shared" ref="S135:S161" si="15">IF($R135="","",$R135/$L135)</f>
        <v>6.7164943176000941E-2</v>
      </c>
      <c r="T135" s="44">
        <f t="shared" ref="T135:T160" si="16">IF(E135="","",IF(ISNUMBER(K135),0,E135*H135))</f>
        <v>373456.09</v>
      </c>
      <c r="U135" s="36" t="str">
        <f>IF(Trades!E33="","",Trades!E33)</f>
        <v>US Equity</v>
      </c>
      <c r="V135" s="36" t="str">
        <f>IF(Trades!F33="","",Trades!F33)</f>
        <v>Broad Mrkt</v>
      </c>
    </row>
    <row r="136" spans="1:22" ht="17.25" customHeight="1" x14ac:dyDescent="0.2">
      <c r="B136" s="45">
        <v>3</v>
      </c>
      <c r="C136" s="37" t="str">
        <f>IF(ISERROR(VLOOKUP(B136,Trades!$B$9:$C$59,2,FALSE)),"",VLOOKUP(B136,Trades!$B$9:$C$59,2,FALSE))</f>
        <v>IAU</v>
      </c>
      <c r="D136" s="37" t="str">
        <f>IF(C136="","",VLOOKUP(C136,'ETF List'!$C$2:$E$90,3,FALSE))</f>
        <v>iShares Gold Trust</v>
      </c>
      <c r="E136" s="37">
        <f>IF(VLOOKUP(B136,Trades!$B$9:$O$59,6,FALSE)="Buy",VLOOKUP(B136,Trades!$B$9:$O$59,8,FALSE),"")</f>
        <v>21014</v>
      </c>
      <c r="F136" s="38">
        <f>IF(VLOOKUP($B136,Trades!$B$9:$O$59,6,FALSE)="Buy",VLOOKUP($B136,Trades!$B$9:$O$59,10,FALSE),"")</f>
        <v>44265</v>
      </c>
      <c r="G136" s="39">
        <f>IF(VLOOKUP($B136,Trades!$B$9:$O$59,6,FALSE)="Buy",VLOOKUP($B136,Trades!$B$9:$O$59,9,FALSE),"")</f>
        <v>16.18</v>
      </c>
      <c r="H136" s="39">
        <f>IF(C136="","",INDEX('Price Inputs'!$C$5:$J$49,MATCH(C136,'Price Inputs'!$C$5:$C$49,0),MATCH($E$2,'Price Inputs'!$C$5:$J$5,0)))</f>
        <v>16.61</v>
      </c>
      <c r="I136" s="37">
        <f>IF(VLOOKUP($B136,Trades!$B$9:$O$59,6,FALSE)="Sell",VLOOKUP($B136,Trades!$B$9:$O$59,8,FALSE),0)</f>
        <v>0</v>
      </c>
      <c r="J136" s="38" t="str">
        <f>IF(VLOOKUP($B136,Trades!$B$9:$O$59,6,FALSE)="Sell",VLOOKUP($B136,Trades!$B$9:$O$59,12,FALSE),"")</f>
        <v/>
      </c>
      <c r="K136" s="39" t="str">
        <f>IF(VLOOKUP($B136,Trades!$B$9:$O$59,6,FALSE)="Sell",VLOOKUP($B136,Trades!$B$9:$O$59,13,FALSE),"")</f>
        <v/>
      </c>
      <c r="L136" s="40">
        <f t="shared" si="13"/>
        <v>340006.52</v>
      </c>
      <c r="M136" s="40">
        <f>VLOOKUP(C136,'Portfolio Bucket'!$N$3:$Q$69,4,FALSE)</f>
        <v>16.18</v>
      </c>
      <c r="N136" s="40">
        <f>IF(C136="","",VLOOKUP(C136,'Portfolio Bucket'!$N$2:$Q$69,4,FALSE)*I136)</f>
        <v>0</v>
      </c>
      <c r="O136" s="41">
        <f t="shared" si="10"/>
        <v>349042.54</v>
      </c>
      <c r="P136" s="42" t="str">
        <f t="shared" si="11"/>
        <v/>
      </c>
      <c r="Q136" s="43" t="str">
        <f t="shared" si="12"/>
        <v/>
      </c>
      <c r="R136" s="42">
        <f t="shared" si="14"/>
        <v>9036.0199999999604</v>
      </c>
      <c r="S136" s="316">
        <f t="shared" si="15"/>
        <v>2.6576019777502971E-2</v>
      </c>
      <c r="T136" s="44">
        <f t="shared" si="16"/>
        <v>349042.54</v>
      </c>
      <c r="U136" s="36" t="str">
        <f>IF(Trades!E34="","",Trades!E34)</f>
        <v/>
      </c>
      <c r="V136" s="36" t="str">
        <f>IF(Trades!F34="","",Trades!F34)</f>
        <v/>
      </c>
    </row>
    <row r="137" spans="1:22" ht="17.25" customHeight="1" x14ac:dyDescent="0.2">
      <c r="B137" s="45">
        <v>4</v>
      </c>
      <c r="C137" s="37" t="str">
        <f>IF(ISERROR(VLOOKUP(B137,Trades!$B$9:$C$59,2,FALSE)),"",VLOOKUP(B137,Trades!$B$9:$C$59,2,FALSE))</f>
        <v>EZU</v>
      </c>
      <c r="D137" s="37" t="str">
        <f>IF(C137="","",VLOOKUP(C137,'ETF List'!$C$2:$E$90,3,FALSE))</f>
        <v xml:space="preserve">iShares Eurozone </v>
      </c>
      <c r="E137" s="37">
        <f>IF(VLOOKUP(B137,Trades!$B$9:$O$59,6,FALSE)="Buy",VLOOKUP(B137,Trades!$B$9:$O$59,8,FALSE),"")</f>
        <v>4231</v>
      </c>
      <c r="F137" s="38">
        <f>IF(VLOOKUP($B137,Trades!$B$9:$O$59,6,FALSE)="Buy",VLOOKUP($B137,Trades!$B$9:$O$59,10,FALSE),"")</f>
        <v>44272</v>
      </c>
      <c r="G137" s="39">
        <f>IF(VLOOKUP($B137,Trades!$B$9:$O$59,6,FALSE)="Buy",VLOOKUP($B137,Trades!$B$9:$O$59,9,FALSE),"")</f>
        <v>46.8</v>
      </c>
      <c r="H137" s="39">
        <f>IF(C137="","",INDEX('Price Inputs'!$C$5:$J$49,MATCH(C137,'Price Inputs'!$C$5:$C$49,0),MATCH($E$2,'Price Inputs'!$C$5:$J$5,0)))</f>
        <v>47.93</v>
      </c>
      <c r="I137" s="37">
        <f>IF(VLOOKUP($B137,Trades!$B$9:$O$59,6,FALSE)="Sell",VLOOKUP($B137,Trades!$B$9:$O$59,8,FALSE),0)</f>
        <v>0</v>
      </c>
      <c r="J137" s="38" t="str">
        <f>IF(VLOOKUP($B137,Trades!$B$9:$O$59,6,FALSE)="Sell",VLOOKUP($B137,Trades!$B$9:$O$59,12,FALSE),"")</f>
        <v/>
      </c>
      <c r="K137" s="39" t="str">
        <f>IF(VLOOKUP($B137,Trades!$B$9:$O$59,6,FALSE)="Sell",VLOOKUP($B137,Trades!$B$9:$O$59,13,FALSE),"")</f>
        <v/>
      </c>
      <c r="L137" s="40">
        <f t="shared" si="13"/>
        <v>198010.8</v>
      </c>
      <c r="M137" s="40">
        <f>VLOOKUP(C137,'Portfolio Bucket'!$N$3:$Q$69,4,FALSE)</f>
        <v>46.8</v>
      </c>
      <c r="N137" s="40">
        <f>IF(C137="","",VLOOKUP(C137,'Portfolio Bucket'!$N$2:$Q$69,4,FALSE)*I137)</f>
        <v>0</v>
      </c>
      <c r="O137" s="41">
        <f t="shared" si="10"/>
        <v>202791.83</v>
      </c>
      <c r="P137" s="42" t="str">
        <f t="shared" si="11"/>
        <v/>
      </c>
      <c r="Q137" s="43" t="str">
        <f t="shared" si="12"/>
        <v/>
      </c>
      <c r="R137" s="42">
        <f t="shared" si="14"/>
        <v>4781.0299999999988</v>
      </c>
      <c r="S137" s="316">
        <f t="shared" si="15"/>
        <v>2.4145299145299139E-2</v>
      </c>
      <c r="T137" s="44">
        <f t="shared" si="16"/>
        <v>202791.83</v>
      </c>
      <c r="U137" s="36" t="str">
        <f>IF(Trades!E35="","",Trades!E35)</f>
        <v/>
      </c>
      <c r="V137" s="36" t="str">
        <f>IF(Trades!F35="","",Trades!F35)</f>
        <v/>
      </c>
    </row>
    <row r="138" spans="1:22" ht="17.25" customHeight="1" x14ac:dyDescent="0.2">
      <c r="B138" s="45">
        <v>5</v>
      </c>
      <c r="C138" s="37" t="str">
        <f>IF(ISERROR(VLOOKUP(B138,Trades!$B$9:$C$59,2,FALSE)),"",VLOOKUP(B138,Trades!$B$9:$C$59,2,FALSE))</f>
        <v>VTI</v>
      </c>
      <c r="D138" s="37" t="str">
        <f>IF(C138="","",VLOOKUP(C138,'ETF List'!$C$2:$E$90,3,FALSE))</f>
        <v xml:space="preserve">Vanguard Total Stock Mrkt </v>
      </c>
      <c r="E138" s="37" t="str">
        <f>IF(VLOOKUP(B138,Trades!$B$9:$O$59,6,FALSE)="Buy",VLOOKUP(B138,Trades!$B$9:$O$59,8,FALSE),"")</f>
        <v/>
      </c>
      <c r="F138" s="38" t="str">
        <f>IF(VLOOKUP($B138,Trades!$B$9:$O$59,6,FALSE)="Buy",VLOOKUP($B138,Trades!$B$9:$O$59,10,FALSE),"")</f>
        <v/>
      </c>
      <c r="G138" s="39" t="str">
        <f>IF(VLOOKUP($B138,Trades!$B$9:$O$59,6,FALSE)="Buy",VLOOKUP($B138,Trades!$B$9:$O$59,9,FALSE),"")</f>
        <v/>
      </c>
      <c r="H138" s="39">
        <f>IF(C138="","",INDEX('Price Inputs'!$C$5:$J$49,MATCH(C138,'Price Inputs'!$C$5:$C$49,0),MATCH($E$2,'Price Inputs'!$C$5:$J$5,0)))</f>
        <v>104.23</v>
      </c>
      <c r="I138" s="37">
        <f>IF(VLOOKUP($B138,Trades!$B$9:$O$59,6,FALSE)="Sell",VLOOKUP($B138,Trades!$B$9:$O$59,8,FALSE),0)</f>
        <v>1950</v>
      </c>
      <c r="J138" s="38">
        <f>IF(VLOOKUP($B138,Trades!$B$9:$O$59,6,FALSE)="Sell",VLOOKUP($B138,Trades!$B$9:$O$59,12,FALSE),"")</f>
        <v>44272</v>
      </c>
      <c r="K138" s="39">
        <f>IF(VLOOKUP($B138,Trades!$B$9:$O$59,6,FALSE)="Sell",VLOOKUP($B138,Trades!$B$9:$O$59,13,FALSE),"")</f>
        <v>101.54</v>
      </c>
      <c r="L138" s="40" t="str">
        <f t="shared" si="13"/>
        <v/>
      </c>
      <c r="M138" s="40">
        <f>VLOOKUP(C138,'Portfolio Bucket'!$N$3:$Q$69,4,FALSE)</f>
        <v>97.67</v>
      </c>
      <c r="N138" s="40">
        <f>IF(C138="","",VLOOKUP(C138,'Portfolio Bucket'!$N$2:$Q$69,4,FALSE)*I138)</f>
        <v>190456.5</v>
      </c>
      <c r="O138" s="41" t="str">
        <f t="shared" si="10"/>
        <v/>
      </c>
      <c r="P138" s="42">
        <f t="shared" si="11"/>
        <v>7546.5</v>
      </c>
      <c r="Q138" s="43">
        <f t="shared" si="12"/>
        <v>3.962322105047611E-2</v>
      </c>
      <c r="R138" s="42">
        <f t="shared" si="14"/>
        <v>0</v>
      </c>
      <c r="S138" s="316" t="e">
        <f t="shared" si="15"/>
        <v>#VALUE!</v>
      </c>
      <c r="T138" s="44" t="str">
        <f t="shared" si="16"/>
        <v/>
      </c>
      <c r="U138" s="36" t="str">
        <f>IF(Trades!E36="","",Trades!E36)</f>
        <v/>
      </c>
      <c r="V138" s="36" t="str">
        <f>IF(Trades!F36="","",Trades!F36)</f>
        <v/>
      </c>
    </row>
    <row r="139" spans="1:22" ht="17.25" customHeight="1" x14ac:dyDescent="0.2">
      <c r="B139" s="45">
        <v>6</v>
      </c>
      <c r="C139" s="37">
        <f>IF(ISERROR(VLOOKUP(B139,Trades!$B$9:$C$59,2,FALSE)),"",VLOOKUP(B139,Trades!$B$9:$C$59,2,FALSE))</f>
        <v>0</v>
      </c>
      <c r="D139" s="37" t="e">
        <f>IF(C139="","",VLOOKUP(C139,'ETF List'!$C$2:$E$90,3,FALSE))</f>
        <v>#N/A</v>
      </c>
      <c r="E139" s="37" t="str">
        <f>IF(VLOOKUP(B139,Trades!$B$9:$O$59,6,FALSE)="Buy",VLOOKUP(B139,Trades!$B$9:$O$59,8,FALSE),"")</f>
        <v/>
      </c>
      <c r="F139" s="38" t="str">
        <f>IF(VLOOKUP($B139,Trades!$B$9:$O$59,6,FALSE)="Buy",VLOOKUP($B139,Trades!$B$9:$O$59,10,FALSE),"")</f>
        <v/>
      </c>
      <c r="G139" s="39" t="str">
        <f>IF(VLOOKUP($B139,Trades!$B$9:$O$59,6,FALSE)="Buy",VLOOKUP($B139,Trades!$B$9:$O$59,9,FALSE),"")</f>
        <v/>
      </c>
      <c r="H139" s="39" t="e">
        <f>IF(C139="","",INDEX('Price Inputs'!$C$5:$J$49,MATCH(C139,'Price Inputs'!$C$5:$C$49,0),MATCH($E$2,'Price Inputs'!$C$5:$J$5,0)))</f>
        <v>#N/A</v>
      </c>
      <c r="I139" s="37">
        <f>IF(VLOOKUP($B139,Trades!$B$9:$O$59,6,FALSE)="Sell",VLOOKUP($B139,Trades!$B$9:$O$59,8,FALSE),0)</f>
        <v>0</v>
      </c>
      <c r="J139" s="38" t="str">
        <f>IF(VLOOKUP($B139,Trades!$B$9:$O$59,6,FALSE)="Sell",VLOOKUP($B139,Trades!$B$9:$O$59,12,FALSE),"")</f>
        <v/>
      </c>
      <c r="K139" s="39" t="str">
        <f>IF(VLOOKUP($B139,Trades!$B$9:$O$59,6,FALSE)="Sell",VLOOKUP($B139,Trades!$B$9:$O$59,13,FALSE),"")</f>
        <v/>
      </c>
      <c r="L139" s="40" t="str">
        <f t="shared" si="13"/>
        <v/>
      </c>
      <c r="M139" s="40" t="e">
        <f>VLOOKUP(C139,'Portfolio Bucket'!$N$3:$Q$69,4,FALSE)</f>
        <v>#N/A</v>
      </c>
      <c r="N139" s="40" t="e">
        <f>IF(C139="","",VLOOKUP(C139,'Portfolio Bucket'!$N$2:$Q$69,4,FALSE)*I139)</f>
        <v>#N/A</v>
      </c>
      <c r="O139" s="41" t="str">
        <f t="shared" si="10"/>
        <v xml:space="preserve"> </v>
      </c>
      <c r="P139" s="42" t="str">
        <f t="shared" si="11"/>
        <v/>
      </c>
      <c r="Q139" s="43" t="str">
        <f t="shared" si="12"/>
        <v/>
      </c>
      <c r="R139" s="42" t="e">
        <f t="shared" si="14"/>
        <v>#VALUE!</v>
      </c>
      <c r="S139" s="316" t="e">
        <f t="shared" si="15"/>
        <v>#VALUE!</v>
      </c>
      <c r="T139" s="44" t="str">
        <f t="shared" si="16"/>
        <v/>
      </c>
      <c r="U139" s="36" t="str">
        <f>IF(Trades!E37="","",Trades!E37)</f>
        <v/>
      </c>
      <c r="V139" s="36" t="str">
        <f>IF(Trades!F37="","",Trades!F37)</f>
        <v/>
      </c>
    </row>
    <row r="140" spans="1:22" ht="17.25" customHeight="1" x14ac:dyDescent="0.2">
      <c r="B140" s="45">
        <v>7</v>
      </c>
      <c r="C140" s="37">
        <f>IF(ISERROR(VLOOKUP(B140,Trades!$B$9:$C$59,2,FALSE)),"",VLOOKUP(B140,Trades!$B$9:$C$59,2,FALSE))</f>
        <v>0</v>
      </c>
      <c r="D140" s="37" t="e">
        <f>IF(C140="","",VLOOKUP(C140,'ETF List'!$C$2:$E$90,3,FALSE))</f>
        <v>#N/A</v>
      </c>
      <c r="E140" s="37" t="str">
        <f>IF(VLOOKUP(B140,Trades!$B$9:$O$59,6,FALSE)="Buy",VLOOKUP(B140,Trades!$B$9:$O$59,8,FALSE),"")</f>
        <v/>
      </c>
      <c r="F140" s="38" t="str">
        <f>IF(VLOOKUP($B140,Trades!$B$9:$O$59,6,FALSE)="Buy",VLOOKUP($B140,Trades!$B$9:$O$59,10,FALSE),"")</f>
        <v/>
      </c>
      <c r="G140" s="39" t="str">
        <f>IF(VLOOKUP($B140,Trades!$B$9:$O$59,6,FALSE)="Buy",VLOOKUP($B140,Trades!$B$9:$O$59,9,FALSE),"")</f>
        <v/>
      </c>
      <c r="H140" s="39" t="e">
        <f>IF(C140="","",INDEX('Price Inputs'!$C$5:$J$49,MATCH(C140,'Price Inputs'!$C$5:$C$49,0),MATCH($E$2,'Price Inputs'!$C$5:$J$5,0)))</f>
        <v>#N/A</v>
      </c>
      <c r="I140" s="37">
        <f>IF(VLOOKUP($B140,Trades!$B$9:$O$59,6,FALSE)="Sell",VLOOKUP($B140,Trades!$B$9:$O$59,8,FALSE),0)</f>
        <v>0</v>
      </c>
      <c r="J140" s="38" t="str">
        <f>IF(VLOOKUP($B140,Trades!$B$9:$O$59,6,FALSE)="Sell",VLOOKUP($B140,Trades!$B$9:$O$59,12,FALSE),"")</f>
        <v/>
      </c>
      <c r="K140" s="39" t="str">
        <f>IF(VLOOKUP($B140,Trades!$B$9:$O$59,6,FALSE)="Sell",VLOOKUP($B140,Trades!$B$9:$O$59,13,FALSE),"")</f>
        <v/>
      </c>
      <c r="L140" s="40" t="str">
        <f t="shared" si="13"/>
        <v/>
      </c>
      <c r="M140" s="40" t="e">
        <f>VLOOKUP(C140,'Portfolio Bucket'!$N$3:$Q$69,4,FALSE)</f>
        <v>#N/A</v>
      </c>
      <c r="N140" s="40" t="e">
        <f>IF(C140="","",VLOOKUP(C140,'Portfolio Bucket'!$N$2:$Q$69,4,FALSE)*I140)</f>
        <v>#N/A</v>
      </c>
      <c r="O140" s="41" t="str">
        <f t="shared" si="10"/>
        <v xml:space="preserve"> </v>
      </c>
      <c r="P140" s="42" t="str">
        <f t="shared" si="11"/>
        <v/>
      </c>
      <c r="Q140" s="43" t="str">
        <f t="shared" si="12"/>
        <v/>
      </c>
      <c r="R140" s="42" t="e">
        <f t="shared" si="14"/>
        <v>#VALUE!</v>
      </c>
      <c r="S140" s="316" t="e">
        <f t="shared" si="15"/>
        <v>#VALUE!</v>
      </c>
      <c r="T140" s="44" t="str">
        <f t="shared" si="16"/>
        <v/>
      </c>
      <c r="U140" s="36" t="str">
        <f>IF(Trades!E38="","",Trades!E38)</f>
        <v/>
      </c>
      <c r="V140" s="36" t="str">
        <f>IF(Trades!F38="","",Trades!F38)</f>
        <v/>
      </c>
    </row>
    <row r="141" spans="1:22" ht="17.25" customHeight="1" x14ac:dyDescent="0.2">
      <c r="B141" s="45">
        <v>8</v>
      </c>
      <c r="C141" s="37">
        <f>IF(ISERROR(VLOOKUP(B141,Trades!$B$9:$C$59,2,FALSE)),"",VLOOKUP(B141,Trades!$B$9:$C$59,2,FALSE))</f>
        <v>0</v>
      </c>
      <c r="D141" s="37" t="e">
        <f>IF(C141="","",VLOOKUP(C141,'ETF List'!$C$2:$E$90,3,FALSE))</f>
        <v>#N/A</v>
      </c>
      <c r="E141" s="37" t="str">
        <f>IF(VLOOKUP(B141,Trades!$B$9:$O$59,6,FALSE)="Buy",VLOOKUP(B141,Trades!$B$9:$O$59,8,FALSE),"")</f>
        <v/>
      </c>
      <c r="F141" s="38" t="str">
        <f>IF(VLOOKUP($B141,Trades!$B$9:$O$59,6,FALSE)="Buy",VLOOKUP($B141,Trades!$B$9:$O$59,10,FALSE),"")</f>
        <v/>
      </c>
      <c r="G141" s="39" t="str">
        <f>IF(VLOOKUP($B141,Trades!$B$9:$O$59,6,FALSE)="Buy",VLOOKUP($B141,Trades!$B$9:$O$59,9,FALSE),"")</f>
        <v/>
      </c>
      <c r="H141" s="39" t="e">
        <f>IF(C141="","",INDEX('Price Inputs'!$C$5:$J$49,MATCH(C141,'Price Inputs'!$C$5:$C$49,0),MATCH($E$2,'Price Inputs'!$C$5:$J$5,0)))</f>
        <v>#N/A</v>
      </c>
      <c r="I141" s="37">
        <f>IF(VLOOKUP($B141,Trades!$B$9:$O$59,6,FALSE)="Sell",VLOOKUP($B141,Trades!$B$9:$O$59,8,FALSE),0)</f>
        <v>0</v>
      </c>
      <c r="J141" s="38" t="str">
        <f>IF(VLOOKUP($B141,Trades!$B$9:$O$59,6,FALSE)="Sell",VLOOKUP($B141,Trades!$B$9:$O$59,12,FALSE),"")</f>
        <v/>
      </c>
      <c r="K141" s="39" t="str">
        <f>IF(VLOOKUP($B141,Trades!$B$9:$O$59,6,FALSE)="Sell",VLOOKUP($B141,Trades!$B$9:$O$59,13,FALSE),"")</f>
        <v/>
      </c>
      <c r="L141" s="40" t="str">
        <f t="shared" si="13"/>
        <v/>
      </c>
      <c r="M141" s="40" t="e">
        <f>VLOOKUP(C141,'Portfolio Bucket'!$N$3:$Q$69,4,FALSE)</f>
        <v>#N/A</v>
      </c>
      <c r="N141" s="40" t="e">
        <f>IF(C141="","",VLOOKUP(C141,'Portfolio Bucket'!$N$2:$Q$69,4,FALSE)*I141)</f>
        <v>#N/A</v>
      </c>
      <c r="O141" s="41" t="str">
        <f t="shared" si="10"/>
        <v xml:space="preserve"> </v>
      </c>
      <c r="P141" s="42" t="str">
        <f t="shared" si="11"/>
        <v/>
      </c>
      <c r="Q141" s="43" t="str">
        <f>IF($P141="","",K141*I141/N141-1)</f>
        <v/>
      </c>
      <c r="R141" s="42" t="e">
        <f t="shared" si="14"/>
        <v>#VALUE!</v>
      </c>
      <c r="S141" s="316" t="e">
        <f t="shared" si="15"/>
        <v>#VALUE!</v>
      </c>
      <c r="T141" s="44" t="str">
        <f t="shared" si="16"/>
        <v/>
      </c>
      <c r="U141" s="36" t="str">
        <f>IF(Trades!E40="","",Trades!E40)</f>
        <v/>
      </c>
      <c r="V141" s="36" t="str">
        <f>IF(Trades!F40="","",Trades!F40)</f>
        <v/>
      </c>
    </row>
    <row r="142" spans="1:22" ht="17.25" customHeight="1" x14ac:dyDescent="0.2">
      <c r="B142" s="45">
        <v>9</v>
      </c>
      <c r="C142" s="37">
        <f>IF(ISERROR(VLOOKUP(B142,Trades!$B$9:$C$59,2,FALSE)),"",VLOOKUP(B142,Trades!$B$9:$C$59,2,FALSE))</f>
        <v>0</v>
      </c>
      <c r="D142" s="37" t="e">
        <f>IF(C142="","",VLOOKUP(C142,'ETF List'!$C$2:$E$90,3,FALSE))</f>
        <v>#N/A</v>
      </c>
      <c r="E142" s="37" t="str">
        <f>IF(VLOOKUP(B142,Trades!$B$9:$O$59,6,FALSE)="Buy",VLOOKUP(B142,Trades!$B$9:$O$59,8,FALSE),"")</f>
        <v/>
      </c>
      <c r="F142" s="38" t="str">
        <f>IF(VLOOKUP($B142,Trades!$B$9:$O$59,6,FALSE)="Buy",VLOOKUP($B142,Trades!$B$9:$O$59,10,FALSE),"")</f>
        <v/>
      </c>
      <c r="G142" s="39" t="str">
        <f>IF(VLOOKUP($B142,Trades!$B$9:$O$59,6,FALSE)="Buy",VLOOKUP($B142,Trades!$B$9:$O$59,9,FALSE),"")</f>
        <v/>
      </c>
      <c r="H142" s="39" t="e">
        <f>IF(C142="","",INDEX('Price Inputs'!$C$5:$J$49,MATCH(C142,'Price Inputs'!$C$5:$C$49,0),MATCH($E$2,'Price Inputs'!$C$5:$J$5,0)))</f>
        <v>#N/A</v>
      </c>
      <c r="I142" s="37">
        <f>IF(VLOOKUP($B142,Trades!$B$9:$O$59,6,FALSE)="Sell",VLOOKUP($B142,Trades!$B$9:$O$59,8,FALSE),0)</f>
        <v>0</v>
      </c>
      <c r="J142" s="38" t="str">
        <f>IF(VLOOKUP($B142,Trades!$B$9:$O$59,6,FALSE)="Sell",VLOOKUP($B142,Trades!$B$9:$O$59,12,FALSE),"")</f>
        <v/>
      </c>
      <c r="K142" s="39" t="str">
        <f>IF(VLOOKUP($B142,Trades!$B$9:$O$59,6,FALSE)="Sell",VLOOKUP($B142,Trades!$B$9:$O$59,13,FALSE),"")</f>
        <v/>
      </c>
      <c r="L142" s="40" t="str">
        <f t="shared" si="13"/>
        <v/>
      </c>
      <c r="M142" s="40" t="e">
        <f>VLOOKUP(C142,'Portfolio Bucket'!$N$3:$Q$69,4,FALSE)</f>
        <v>#N/A</v>
      </c>
      <c r="N142" s="40" t="e">
        <f>IF(C142="","",VLOOKUP(C142,'Portfolio Bucket'!$N$2:$Q$69,4,FALSE)*I142)</f>
        <v>#N/A</v>
      </c>
      <c r="O142" s="41" t="str">
        <f t="shared" si="10"/>
        <v xml:space="preserve"> </v>
      </c>
      <c r="P142" s="42" t="str">
        <f t="shared" ref="P142:P163" si="17">IF(K142="","",I142*K142-N142)</f>
        <v/>
      </c>
      <c r="Q142" s="43" t="str">
        <f t="shared" ref="Q142:Q163" si="18">IF($P142="","",K142*I142/N142-1)</f>
        <v/>
      </c>
      <c r="R142" s="42" t="e">
        <f t="shared" si="14"/>
        <v>#VALUE!</v>
      </c>
      <c r="S142" s="316" t="e">
        <f t="shared" si="15"/>
        <v>#VALUE!</v>
      </c>
      <c r="T142" s="44" t="str">
        <f t="shared" si="16"/>
        <v/>
      </c>
      <c r="U142" s="36" t="str">
        <f>IF(Trades!E40="","",Trades!E40)</f>
        <v/>
      </c>
      <c r="V142" s="36" t="str">
        <f>IF(Trades!F40="","",Trades!F40)</f>
        <v/>
      </c>
    </row>
    <row r="143" spans="1:22" ht="17.25" customHeight="1" x14ac:dyDescent="0.2">
      <c r="B143" s="45">
        <v>10</v>
      </c>
      <c r="C143" s="37">
        <f>IF(ISERROR(VLOOKUP(B143,Trades!$B$9:$C$59,2,FALSE)),"",VLOOKUP(B143,Trades!$B$9:$C$59,2,FALSE))</f>
        <v>0</v>
      </c>
      <c r="D143" s="37" t="e">
        <f>IF(C143="","",VLOOKUP(C143,'ETF List'!$C$2:$E$90,3,FALSE))</f>
        <v>#N/A</v>
      </c>
      <c r="E143" s="37" t="str">
        <f>IF(VLOOKUP(B143,Trades!$B$9:$O$59,6,FALSE)="Buy",VLOOKUP(B143,Trades!$B$9:$O$59,8,FALSE),"")</f>
        <v/>
      </c>
      <c r="F143" s="38" t="str">
        <f>IF(VLOOKUP($B143,Trades!$B$9:$O$59,6,FALSE)="Buy",VLOOKUP($B143,Trades!$B$9:$O$59,10,FALSE),"")</f>
        <v/>
      </c>
      <c r="G143" s="39" t="str">
        <f>IF(VLOOKUP($B143,Trades!$B$9:$O$59,6,FALSE)="Buy",VLOOKUP($B143,Trades!$B$9:$O$59,9,FALSE),"")</f>
        <v/>
      </c>
      <c r="H143" s="39" t="e">
        <f>IF(C143="","",INDEX('Price Inputs'!$C$5:$J$49,MATCH(C143,'Price Inputs'!$C$5:$C$49,0),MATCH($E$2,'Price Inputs'!$C$5:$J$5,0)))</f>
        <v>#N/A</v>
      </c>
      <c r="I143" s="37">
        <f>IF(VLOOKUP($B143,Trades!$B$9:$O$59,6,FALSE)="Sell",VLOOKUP($B143,Trades!$B$9:$O$59,8,FALSE),0)</f>
        <v>0</v>
      </c>
      <c r="J143" s="38" t="str">
        <f>IF(VLOOKUP($B143,Trades!$B$9:$O$59,6,FALSE)="Sell",VLOOKUP($B143,Trades!$B$9:$O$59,12,FALSE),"")</f>
        <v/>
      </c>
      <c r="K143" s="39" t="str">
        <f>IF(VLOOKUP($B143,Trades!$B$9:$O$59,6,FALSE)="Sell",VLOOKUP($B143,Trades!$B$9:$O$59,13,FALSE),"")</f>
        <v/>
      </c>
      <c r="L143" s="40" t="str">
        <f t="shared" si="13"/>
        <v/>
      </c>
      <c r="M143" s="40" t="e">
        <f>VLOOKUP(C143,'Portfolio Bucket'!$N$3:$Q$69,4,FALSE)</f>
        <v>#N/A</v>
      </c>
      <c r="N143" s="40" t="e">
        <f>IF(C143="","",VLOOKUP(C143,'Portfolio Bucket'!$N$2:$Q$69,4,FALSE)*I143)</f>
        <v>#N/A</v>
      </c>
      <c r="O143" s="41" t="str">
        <f t="shared" si="10"/>
        <v xml:space="preserve"> </v>
      </c>
      <c r="P143" s="42" t="str">
        <f t="shared" si="17"/>
        <v/>
      </c>
      <c r="Q143" s="43" t="str">
        <f t="shared" si="18"/>
        <v/>
      </c>
      <c r="R143" s="42" t="e">
        <f t="shared" si="14"/>
        <v>#VALUE!</v>
      </c>
      <c r="S143" s="316" t="e">
        <f t="shared" si="15"/>
        <v>#VALUE!</v>
      </c>
      <c r="T143" s="44" t="str">
        <f t="shared" si="16"/>
        <v/>
      </c>
      <c r="U143" s="36" t="str">
        <f>IF(Trades!E41="","",Trades!E41)</f>
        <v/>
      </c>
      <c r="V143" s="36" t="str">
        <f>IF(Trades!F41="","",Trades!F41)</f>
        <v/>
      </c>
    </row>
    <row r="144" spans="1:22" ht="17.25" customHeight="1" x14ac:dyDescent="0.2">
      <c r="B144" s="45">
        <v>11</v>
      </c>
      <c r="C144" s="37">
        <f>IF(ISERROR(VLOOKUP(B144,Trades!$B$9:$C$59,2,FALSE)),"",VLOOKUP(B144,Trades!$B$9:$C$59,2,FALSE))</f>
        <v>0</v>
      </c>
      <c r="D144" s="37" t="e">
        <f>IF(C144="","",VLOOKUP(C144,'ETF List'!$C$2:$E$90,3,FALSE))</f>
        <v>#N/A</v>
      </c>
      <c r="E144" s="37" t="str">
        <f>IF(VLOOKUP(B144,Trades!$B$9:$O$59,6,FALSE)="Buy",VLOOKUP(B144,Trades!$B$9:$O$59,8,FALSE),"")</f>
        <v/>
      </c>
      <c r="F144" s="38" t="str">
        <f>IF(VLOOKUP($B144,Trades!$B$9:$O$59,6,FALSE)="Buy",VLOOKUP($B144,Trades!$B$9:$O$59,10,FALSE),"")</f>
        <v/>
      </c>
      <c r="G144" s="39" t="str">
        <f>IF(VLOOKUP($B144,Trades!$B$9:$O$59,6,FALSE)="Buy",VLOOKUP($B144,Trades!$B$9:$O$59,9,FALSE),"")</f>
        <v/>
      </c>
      <c r="H144" s="39" t="e">
        <f>IF(C144="","",INDEX('Price Inputs'!$C$5:$J$49,MATCH(C144,'Price Inputs'!$C$5:$C$49,0),MATCH($E$2,'Price Inputs'!$C$5:$J$5,0)))</f>
        <v>#N/A</v>
      </c>
      <c r="I144" s="37">
        <f>IF(VLOOKUP($B144,Trades!$B$9:$O$59,6,FALSE)="Sell",VLOOKUP($B144,Trades!$B$9:$O$59,8,FALSE),0)</f>
        <v>0</v>
      </c>
      <c r="J144" s="38" t="str">
        <f>IF(VLOOKUP($B144,Trades!$B$9:$O$59,6,FALSE)="Sell",VLOOKUP($B144,Trades!$B$9:$O$59,12,FALSE),"")</f>
        <v/>
      </c>
      <c r="K144" s="39" t="str">
        <f>IF(VLOOKUP($B144,Trades!$B$9:$O$59,6,FALSE)="Sell",VLOOKUP($B144,Trades!$B$9:$O$59,13,FALSE),"")</f>
        <v/>
      </c>
      <c r="L144" s="40" t="str">
        <f t="shared" si="13"/>
        <v/>
      </c>
      <c r="M144" s="40" t="e">
        <f>VLOOKUP(C144,'Portfolio Bucket'!$N$3:$Q$69,4,FALSE)</f>
        <v>#N/A</v>
      </c>
      <c r="N144" s="40" t="e">
        <f>IF(C144="","",VLOOKUP(C144,'Portfolio Bucket'!$N$2:$Q$69,4,FALSE)*I144)</f>
        <v>#N/A</v>
      </c>
      <c r="O144" s="41" t="str">
        <f t="shared" si="10"/>
        <v xml:space="preserve"> </v>
      </c>
      <c r="P144" s="42" t="str">
        <f t="shared" si="17"/>
        <v/>
      </c>
      <c r="Q144" s="43" t="str">
        <f t="shared" si="18"/>
        <v/>
      </c>
      <c r="R144" s="42" t="e">
        <f t="shared" si="14"/>
        <v>#VALUE!</v>
      </c>
      <c r="S144" s="316" t="e">
        <f t="shared" si="15"/>
        <v>#VALUE!</v>
      </c>
      <c r="T144" s="44" t="str">
        <f t="shared" si="16"/>
        <v/>
      </c>
      <c r="U144" s="36" t="str">
        <f>IF(Trades!E42="","",Trades!E42)</f>
        <v/>
      </c>
      <c r="V144" s="36" t="str">
        <f>IF(Trades!F42="","",Trades!F42)</f>
        <v/>
      </c>
    </row>
    <row r="145" spans="2:22" ht="17.25" customHeight="1" x14ac:dyDescent="0.2">
      <c r="B145" s="45">
        <v>12</v>
      </c>
      <c r="C145" s="37">
        <f>IF(ISERROR(VLOOKUP(B145,Trades!$B$9:$C$59,2,FALSE)),"",VLOOKUP(B145,Trades!$B$9:$C$59,2,FALSE))</f>
        <v>0</v>
      </c>
      <c r="D145" s="37" t="e">
        <f>IF(C145="","",VLOOKUP(C145,'ETF List'!$C$2:$E$90,3,FALSE))</f>
        <v>#N/A</v>
      </c>
      <c r="E145" s="37" t="str">
        <f>IF(VLOOKUP(B145,Trades!$B$9:$O$59,6,FALSE)="Buy",VLOOKUP(B145,Trades!$B$9:$O$59,8,FALSE),"")</f>
        <v/>
      </c>
      <c r="F145" s="38" t="str">
        <f>IF(VLOOKUP($B145,Trades!$B$9:$O$59,6,FALSE)="Buy",VLOOKUP($B145,Trades!$B$9:$O$59,10,FALSE),"")</f>
        <v/>
      </c>
      <c r="G145" s="39" t="str">
        <f>IF(VLOOKUP($B145,Trades!$B$9:$O$59,6,FALSE)="Buy",VLOOKUP($B145,Trades!$B$9:$O$59,9,FALSE),"")</f>
        <v/>
      </c>
      <c r="H145" s="39" t="e">
        <f>IF(C145="","",INDEX('Price Inputs'!$C$5:$J$49,MATCH(C145,'Price Inputs'!$C$5:$C$49,0),MATCH($E$2,'Price Inputs'!$C$5:$J$5,0)))</f>
        <v>#N/A</v>
      </c>
      <c r="I145" s="37">
        <f>IF(VLOOKUP($B145,Trades!$B$9:$O$59,6,FALSE)="Sell",VLOOKUP($B145,Trades!$B$9:$O$59,8,FALSE),0)</f>
        <v>0</v>
      </c>
      <c r="J145" s="38" t="str">
        <f>IF(VLOOKUP($B145,Trades!$B$9:$O$59,6,FALSE)="Sell",VLOOKUP($B145,Trades!$B$9:$O$59,12,FALSE),"")</f>
        <v/>
      </c>
      <c r="K145" s="39" t="str">
        <f>IF(VLOOKUP($B145,Trades!$B$9:$O$59,6,FALSE)="Sell",VLOOKUP($B145,Trades!$B$9:$O$59,13,FALSE),"")</f>
        <v/>
      </c>
      <c r="L145" s="40" t="str">
        <f t="shared" si="13"/>
        <v/>
      </c>
      <c r="M145" s="40" t="e">
        <f>VLOOKUP(C145,'Portfolio Bucket'!$N$3:$Q$69,4,FALSE)</f>
        <v>#N/A</v>
      </c>
      <c r="N145" s="40" t="e">
        <f>IF(C145="","",VLOOKUP(C145,'Portfolio Bucket'!$N$2:$Q$69,4,FALSE)*I145)</f>
        <v>#N/A</v>
      </c>
      <c r="O145" s="41" t="str">
        <f t="shared" si="10"/>
        <v xml:space="preserve"> </v>
      </c>
      <c r="P145" s="42" t="str">
        <f t="shared" si="17"/>
        <v/>
      </c>
      <c r="Q145" s="43" t="str">
        <f t="shared" si="18"/>
        <v/>
      </c>
      <c r="R145" s="42" t="e">
        <f t="shared" si="14"/>
        <v>#VALUE!</v>
      </c>
      <c r="S145" s="316" t="e">
        <f t="shared" si="15"/>
        <v>#VALUE!</v>
      </c>
      <c r="T145" s="44" t="str">
        <f t="shared" si="16"/>
        <v/>
      </c>
      <c r="U145" s="36" t="str">
        <f>IF(Trades!E43="","",Trades!E43)</f>
        <v/>
      </c>
      <c r="V145" s="36" t="str">
        <f>IF(Trades!F43="","",Trades!F43)</f>
        <v/>
      </c>
    </row>
    <row r="146" spans="2:22" ht="17.25" customHeight="1" x14ac:dyDescent="0.2">
      <c r="B146" s="45">
        <v>13</v>
      </c>
      <c r="C146" s="37">
        <f>IF(ISERROR(VLOOKUP(B146,Trades!$B$9:$C$59,2,FALSE)),"",VLOOKUP(B146,Trades!$B$9:$C$59,2,FALSE))</f>
        <v>0</v>
      </c>
      <c r="D146" s="37" t="e">
        <f>IF(C146="","",VLOOKUP(C146,'ETF List'!$C$2:$E$90,3,FALSE))</f>
        <v>#N/A</v>
      </c>
      <c r="E146" s="37" t="str">
        <f>IF(VLOOKUP(B146,Trades!$B$9:$O$59,6,FALSE)="Buy",VLOOKUP(B146,Trades!$B$9:$O$59,8,FALSE),"")</f>
        <v/>
      </c>
      <c r="F146" s="38" t="str">
        <f>IF(VLOOKUP($B146,Trades!$B$9:$O$59,6,FALSE)="Buy",VLOOKUP($B146,Trades!$B$9:$O$59,10,FALSE),"")</f>
        <v/>
      </c>
      <c r="G146" s="39" t="str">
        <f>IF(VLOOKUP($B146,Trades!$B$9:$O$59,6,FALSE)="Buy",VLOOKUP($B146,Trades!$B$9:$O$59,9,FALSE),"")</f>
        <v/>
      </c>
      <c r="H146" s="39" t="e">
        <f>IF(C146="","",INDEX('Price Inputs'!$C$5:$J$49,MATCH(C146,'Price Inputs'!$C$5:$C$49,0),MATCH($E$2,'Price Inputs'!$C$5:$J$5,0)))</f>
        <v>#N/A</v>
      </c>
      <c r="I146" s="37">
        <f>IF(VLOOKUP($B146,Trades!$B$9:$O$59,6,FALSE)="Sell",VLOOKUP($B146,Trades!$B$9:$O$59,8,FALSE),0)</f>
        <v>0</v>
      </c>
      <c r="J146" s="38" t="str">
        <f>IF(VLOOKUP($B146,Trades!$B$9:$O$59,6,FALSE)="Sell",VLOOKUP($B146,Trades!$B$9:$O$59,12,FALSE),"")</f>
        <v/>
      </c>
      <c r="K146" s="39" t="str">
        <f>IF(VLOOKUP($B146,Trades!$B$9:$O$59,6,FALSE)="Sell",VLOOKUP($B146,Trades!$B$9:$O$59,13,FALSE),"")</f>
        <v/>
      </c>
      <c r="L146" s="40" t="str">
        <f t="shared" si="13"/>
        <v/>
      </c>
      <c r="M146" s="40" t="e">
        <f>VLOOKUP(C146,'Portfolio Bucket'!$N$3:$Q$69,4,FALSE)</f>
        <v>#N/A</v>
      </c>
      <c r="N146" s="40" t="e">
        <f>IF(C146="","",VLOOKUP(C146,'Portfolio Bucket'!$N$2:$Q$69,4,FALSE)*I146)</f>
        <v>#N/A</v>
      </c>
      <c r="O146" s="41" t="str">
        <f t="shared" si="10"/>
        <v xml:space="preserve"> </v>
      </c>
      <c r="P146" s="42" t="str">
        <f t="shared" si="17"/>
        <v/>
      </c>
      <c r="Q146" s="43" t="str">
        <f t="shared" si="18"/>
        <v/>
      </c>
      <c r="R146" s="42" t="e">
        <f t="shared" si="14"/>
        <v>#VALUE!</v>
      </c>
      <c r="S146" s="316" t="e">
        <f t="shared" si="15"/>
        <v>#VALUE!</v>
      </c>
      <c r="T146" s="44" t="str">
        <f t="shared" si="16"/>
        <v/>
      </c>
      <c r="U146" s="36" t="str">
        <f>IF(Trades!E44="","",Trades!E44)</f>
        <v/>
      </c>
      <c r="V146" s="36" t="str">
        <f>IF(Trades!F44="","",Trades!F44)</f>
        <v/>
      </c>
    </row>
    <row r="147" spans="2:22" ht="17.25" customHeight="1" x14ac:dyDescent="0.2">
      <c r="B147" s="45">
        <v>14</v>
      </c>
      <c r="C147" s="37">
        <f>IF(ISERROR(VLOOKUP(B147,Trades!$B$9:$C$59,2,FALSE)),"",VLOOKUP(B147,Trades!$B$9:$C$59,2,FALSE))</f>
        <v>0</v>
      </c>
      <c r="D147" s="37" t="e">
        <f>IF(C147="","",VLOOKUP(C147,'ETF List'!$C$2:$E$90,3,FALSE))</f>
        <v>#N/A</v>
      </c>
      <c r="E147" s="37" t="str">
        <f>IF(VLOOKUP(B147,Trades!$B$9:$O$59,6,FALSE)="Buy",VLOOKUP(B147,Trades!$B$9:$O$59,8,FALSE),"")</f>
        <v/>
      </c>
      <c r="F147" s="38" t="str">
        <f>IF(VLOOKUP($B147,Trades!$B$9:$O$59,6,FALSE)="Buy",VLOOKUP($B147,Trades!$B$9:$O$59,10,FALSE),"")</f>
        <v/>
      </c>
      <c r="G147" s="39" t="str">
        <f>IF(VLOOKUP($B147,Trades!$B$9:$O$59,6,FALSE)="Buy",VLOOKUP($B147,Trades!$B$9:$O$59,9,FALSE),"")</f>
        <v/>
      </c>
      <c r="H147" s="39" t="e">
        <f>IF(C147="","",INDEX('Price Inputs'!$C$5:$J$49,MATCH(C147,'Price Inputs'!$C$5:$C$49,0),MATCH($E$2,'Price Inputs'!$C$5:$J$5,0)))</f>
        <v>#N/A</v>
      </c>
      <c r="I147" s="37">
        <f>IF(VLOOKUP($B147,Trades!$B$9:$O$59,6,FALSE)="Sell",VLOOKUP($B147,Trades!$B$9:$O$59,8,FALSE),0)</f>
        <v>0</v>
      </c>
      <c r="J147" s="38" t="str">
        <f>IF(VLOOKUP($B147,Trades!$B$9:$O$59,6,FALSE)="Sell",VLOOKUP($B147,Trades!$B$9:$O$59,12,FALSE),"")</f>
        <v/>
      </c>
      <c r="K147" s="39" t="str">
        <f>IF(VLOOKUP($B147,Trades!$B$9:$O$59,6,FALSE)="Sell",VLOOKUP($B147,Trades!$B$9:$O$59,13,FALSE),"")</f>
        <v/>
      </c>
      <c r="L147" s="40" t="str">
        <f t="shared" si="13"/>
        <v/>
      </c>
      <c r="M147" s="40" t="e">
        <f>VLOOKUP(C147,'Portfolio Bucket'!$N$3:$Q$69,4,FALSE)</f>
        <v>#N/A</v>
      </c>
      <c r="N147" s="40" t="e">
        <f>IF(C147="","",VLOOKUP(C147,'Portfolio Bucket'!$N$2:$Q$69,4,FALSE)*I147)</f>
        <v>#N/A</v>
      </c>
      <c r="O147" s="41" t="str">
        <f t="shared" si="10"/>
        <v xml:space="preserve"> </v>
      </c>
      <c r="P147" s="42" t="str">
        <f t="shared" si="17"/>
        <v/>
      </c>
      <c r="Q147" s="43" t="str">
        <f t="shared" si="18"/>
        <v/>
      </c>
      <c r="R147" s="42" t="e">
        <f t="shared" si="14"/>
        <v>#VALUE!</v>
      </c>
      <c r="S147" s="316" t="e">
        <f>IF($R147="","",$R147/$L147)</f>
        <v>#VALUE!</v>
      </c>
      <c r="T147" s="44" t="str">
        <f t="shared" si="16"/>
        <v/>
      </c>
      <c r="U147" s="36" t="str">
        <f>IF(Trades!E45="","",Trades!E45)</f>
        <v/>
      </c>
      <c r="V147" s="36" t="str">
        <f>IF(Trades!F45="","",Trades!F45)</f>
        <v/>
      </c>
    </row>
    <row r="148" spans="2:22" ht="17.25" customHeight="1" x14ac:dyDescent="0.2">
      <c r="B148" s="45">
        <v>15</v>
      </c>
      <c r="C148" s="37">
        <f>IF(ISERROR(VLOOKUP(B148,Trades!$B$9:$C$59,2,FALSE)),"",VLOOKUP(B148,Trades!$B$9:$C$59,2,FALSE))</f>
        <v>0</v>
      </c>
      <c r="D148" s="37" t="e">
        <f>IF(C148="","",VLOOKUP(C148,'ETF List'!$C$2:$E$90,3,FALSE))</f>
        <v>#N/A</v>
      </c>
      <c r="E148" s="37" t="str">
        <f>IF(VLOOKUP(B148,Trades!$B$9:$O$59,6,FALSE)="Buy",VLOOKUP(B148,Trades!$B$9:$O$59,8,FALSE),"")</f>
        <v/>
      </c>
      <c r="F148" s="38" t="str">
        <f>IF(VLOOKUP($B148,Trades!$B$9:$O$59,6,FALSE)="Buy",VLOOKUP($B148,Trades!$B$9:$O$59,10,FALSE),"")</f>
        <v/>
      </c>
      <c r="G148" s="39" t="str">
        <f>IF(VLOOKUP($B148,Trades!$B$9:$O$59,6,FALSE)="Buy",VLOOKUP($B148,Trades!$B$9:$O$59,9,FALSE),"")</f>
        <v/>
      </c>
      <c r="H148" s="39" t="e">
        <f>IF(C148="","",INDEX('Price Inputs'!$C$5:$J$49,MATCH(C148,'Price Inputs'!$C$5:$C$49,0),MATCH($E$2,'Price Inputs'!$C$5:$J$5,0)))</f>
        <v>#N/A</v>
      </c>
      <c r="I148" s="37">
        <f>IF(VLOOKUP($B148,Trades!$B$9:$O$59,6,FALSE)="Sell",VLOOKUP($B148,Trades!$B$9:$O$59,8,FALSE),0)</f>
        <v>0</v>
      </c>
      <c r="J148" s="38" t="str">
        <f>IF(VLOOKUP($B148,Trades!$B$9:$O$59,6,FALSE)="Sell",VLOOKUP($B148,Trades!$B$9:$O$59,12,FALSE),"")</f>
        <v/>
      </c>
      <c r="K148" s="39" t="str">
        <f>IF(VLOOKUP($B148,Trades!$B$9:$O$59,6,FALSE)="Sell",VLOOKUP($B148,Trades!$B$9:$O$59,13,FALSE),"")</f>
        <v/>
      </c>
      <c r="L148" s="40" t="str">
        <f t="shared" si="13"/>
        <v/>
      </c>
      <c r="M148" s="40" t="e">
        <f>VLOOKUP(C148,'Portfolio Bucket'!$N$3:$Q$69,4,FALSE)</f>
        <v>#N/A</v>
      </c>
      <c r="N148" s="40" t="e">
        <f>IF(C148="","",VLOOKUP(C148,'Portfolio Bucket'!$N$2:$Q$69,4,FALSE)*I148)</f>
        <v>#N/A</v>
      </c>
      <c r="O148" s="41" t="str">
        <f t="shared" si="10"/>
        <v xml:space="preserve"> </v>
      </c>
      <c r="P148" s="42" t="str">
        <f t="shared" si="17"/>
        <v/>
      </c>
      <c r="Q148" s="43" t="str">
        <f t="shared" si="18"/>
        <v/>
      </c>
      <c r="R148" s="42" t="e">
        <f t="shared" si="14"/>
        <v>#VALUE!</v>
      </c>
      <c r="S148" s="316" t="e">
        <f t="shared" si="15"/>
        <v>#VALUE!</v>
      </c>
      <c r="T148" s="44" t="str">
        <f t="shared" si="16"/>
        <v/>
      </c>
      <c r="U148" s="36" t="str">
        <f>IF(Trades!E46="","",Trades!E46)</f>
        <v/>
      </c>
      <c r="V148" s="36" t="str">
        <f>IF(Trades!F46="","",Trades!F46)</f>
        <v/>
      </c>
    </row>
    <row r="149" spans="2:22" ht="17.25" customHeight="1" x14ac:dyDescent="0.2">
      <c r="B149" s="45">
        <v>16</v>
      </c>
      <c r="C149" s="37">
        <f>IF(ISERROR(VLOOKUP(B149,Trades!$B$9:$C$59,2,FALSE)),"",VLOOKUP(B149,Trades!$B$9:$C$59,2,FALSE))</f>
        <v>0</v>
      </c>
      <c r="D149" s="37" t="e">
        <f>IF(C149="","",VLOOKUP(C149,'ETF List'!$C$2:$E$90,3,FALSE))</f>
        <v>#N/A</v>
      </c>
      <c r="E149" s="37" t="str">
        <f>IF(VLOOKUP(B149,Trades!$B$9:$O$59,6,FALSE)="Buy",VLOOKUP(B149,Trades!$B$9:$O$59,8,FALSE),"")</f>
        <v/>
      </c>
      <c r="F149" s="38" t="str">
        <f>IF(VLOOKUP($B149,Trades!$B$9:$O$59,6,FALSE)="Buy",VLOOKUP($B149,Trades!$B$9:$O$59,10,FALSE),"")</f>
        <v/>
      </c>
      <c r="G149" s="39" t="str">
        <f>IF(VLOOKUP($B149,Trades!$B$9:$O$59,6,FALSE)="Buy",VLOOKUP($B149,Trades!$B$9:$O$59,9,FALSE),"")</f>
        <v/>
      </c>
      <c r="H149" s="39" t="e">
        <f>IF(C149="","",INDEX('Price Inputs'!$C$5:$J$49,MATCH(C149,'Price Inputs'!$C$5:$C$49,0),MATCH($E$2,'Price Inputs'!$C$5:$J$5,0)))</f>
        <v>#N/A</v>
      </c>
      <c r="I149" s="37">
        <f>IF(VLOOKUP($B149,Trades!$B$9:$O$59,6,FALSE)="Sell",VLOOKUP($B149,Trades!$B$9:$O$59,8,FALSE),0)</f>
        <v>0</v>
      </c>
      <c r="J149" s="38" t="str">
        <f>IF(VLOOKUP($B149,Trades!$B$9:$O$59,6,FALSE)="Sell",VLOOKUP($B149,Trades!$B$9:$O$59,12,FALSE),"")</f>
        <v/>
      </c>
      <c r="K149" s="39" t="str">
        <f>IF(VLOOKUP($B149,Trades!$B$9:$O$59,6,FALSE)="Sell",VLOOKUP($B149,Trades!$B$9:$O$59,13,FALSE),"")</f>
        <v/>
      </c>
      <c r="L149" s="40" t="str">
        <f t="shared" si="13"/>
        <v/>
      </c>
      <c r="M149" s="40" t="e">
        <f>VLOOKUP(C149,'Portfolio Bucket'!$N$3:$Q$69,4,FALSE)</f>
        <v>#N/A</v>
      </c>
      <c r="N149" s="40" t="e">
        <f>IF(C149="","",VLOOKUP(C149,'Portfolio Bucket'!$N$2:$Q$69,4,FALSE)*I149)</f>
        <v>#N/A</v>
      </c>
      <c r="O149" s="41" t="str">
        <f t="shared" si="10"/>
        <v xml:space="preserve"> </v>
      </c>
      <c r="P149" s="42" t="str">
        <f t="shared" si="17"/>
        <v/>
      </c>
      <c r="Q149" s="43" t="str">
        <f t="shared" si="18"/>
        <v/>
      </c>
      <c r="R149" s="42" t="e">
        <f t="shared" si="14"/>
        <v>#VALUE!</v>
      </c>
      <c r="S149" s="316" t="e">
        <f t="shared" si="15"/>
        <v>#VALUE!</v>
      </c>
      <c r="T149" s="44" t="str">
        <f t="shared" si="16"/>
        <v/>
      </c>
      <c r="U149" s="36" t="str">
        <f>IF(Trades!E47="","",Trades!E47)</f>
        <v/>
      </c>
      <c r="V149" s="36" t="str">
        <f>IF(Trades!F47="","",Trades!F47)</f>
        <v/>
      </c>
    </row>
    <row r="150" spans="2:22" ht="17.25" customHeight="1" x14ac:dyDescent="0.2">
      <c r="B150" s="45">
        <v>17</v>
      </c>
      <c r="C150" s="37">
        <f>IF(ISERROR(VLOOKUP(B150,Trades!$B$9:$C$59,2,FALSE)),"",VLOOKUP(B150,Trades!$B$9:$C$59,2,FALSE))</f>
        <v>0</v>
      </c>
      <c r="D150" s="37" t="e">
        <f>IF(C150="","",VLOOKUP(C150,'ETF List'!$C$2:$E$90,3,FALSE))</f>
        <v>#N/A</v>
      </c>
      <c r="E150" s="37" t="str">
        <f>IF(VLOOKUP(B150,Trades!$B$9:$O$59,6,FALSE)="Buy",VLOOKUP(B150,Trades!$B$9:$O$59,8,FALSE),"")</f>
        <v/>
      </c>
      <c r="F150" s="38" t="str">
        <f>IF(VLOOKUP($B150,Trades!$B$9:$O$59,6,FALSE)="Buy",VLOOKUP($B150,Trades!$B$9:$O$59,10,FALSE),"")</f>
        <v/>
      </c>
      <c r="G150" s="39" t="str">
        <f>IF(VLOOKUP($B150,Trades!$B$9:$O$59,6,FALSE)="Buy",VLOOKUP($B150,Trades!$B$9:$O$59,9,FALSE),"")</f>
        <v/>
      </c>
      <c r="H150" s="39" t="e">
        <f>IF(C150="","",INDEX('Price Inputs'!$C$5:$J$49,MATCH(C150,'Price Inputs'!$C$5:$C$49,0),MATCH($E$2,'Price Inputs'!$C$5:$J$5,0)))</f>
        <v>#N/A</v>
      </c>
      <c r="I150" s="37">
        <f>IF(VLOOKUP($B150,Trades!$B$9:$O$59,6,FALSE)="Sell",VLOOKUP($B150,Trades!$B$9:$O$59,8,FALSE),0)</f>
        <v>0</v>
      </c>
      <c r="J150" s="38" t="str">
        <f>IF(VLOOKUP($B150,Trades!$B$9:$O$59,6,FALSE)="Sell",VLOOKUP($B150,Trades!$B$9:$O$59,12,FALSE),"")</f>
        <v/>
      </c>
      <c r="K150" s="39" t="str">
        <f>IF(VLOOKUP($B150,Trades!$B$9:$O$59,6,FALSE)="Sell",VLOOKUP($B150,Trades!$B$9:$O$59,13,FALSE),"")</f>
        <v/>
      </c>
      <c r="L150" s="40" t="str">
        <f t="shared" si="13"/>
        <v/>
      </c>
      <c r="M150" s="40" t="e">
        <f>VLOOKUP(C150,'Portfolio Bucket'!$N$3:$Q$69,4,FALSE)</f>
        <v>#N/A</v>
      </c>
      <c r="N150" s="40" t="e">
        <f>IF(C150="","",VLOOKUP(C150,'Portfolio Bucket'!$N$2:$Q$69,4,FALSE)*I150)</f>
        <v>#N/A</v>
      </c>
      <c r="O150" s="41" t="str">
        <f t="shared" si="10"/>
        <v xml:space="preserve"> </v>
      </c>
      <c r="P150" s="42" t="str">
        <f t="shared" si="17"/>
        <v/>
      </c>
      <c r="Q150" s="43" t="str">
        <f t="shared" si="18"/>
        <v/>
      </c>
      <c r="R150" s="42" t="e">
        <f t="shared" si="14"/>
        <v>#VALUE!</v>
      </c>
      <c r="S150" s="316" t="e">
        <f t="shared" si="15"/>
        <v>#VALUE!</v>
      </c>
      <c r="T150" s="44" t="str">
        <f t="shared" si="16"/>
        <v/>
      </c>
      <c r="U150" s="36" t="str">
        <f>IF(Trades!E48="","",Trades!E48)</f>
        <v/>
      </c>
      <c r="V150" s="36" t="str">
        <f>IF(Trades!F48="","",Trades!F48)</f>
        <v/>
      </c>
    </row>
    <row r="151" spans="2:22" ht="17.25" customHeight="1" x14ac:dyDescent="0.2">
      <c r="B151" s="45">
        <v>18</v>
      </c>
      <c r="C151" s="37">
        <f>IF(ISERROR(VLOOKUP(B151,Trades!$B$9:$C$59,2,FALSE)),"",VLOOKUP(B151,Trades!$B$9:$C$59,2,FALSE))</f>
        <v>0</v>
      </c>
      <c r="D151" s="37" t="e">
        <f>IF(C151="","",VLOOKUP(C151,'ETF List'!$C$2:$E$90,3,FALSE))</f>
        <v>#N/A</v>
      </c>
      <c r="E151" s="37" t="str">
        <f>IF(VLOOKUP(B151,Trades!$B$9:$O$59,6,FALSE)="Buy",VLOOKUP(B151,Trades!$B$9:$O$59,8,FALSE),"")</f>
        <v/>
      </c>
      <c r="F151" s="38" t="str">
        <f>IF(VLOOKUP($B151,Trades!$B$9:$O$59,6,FALSE)="Buy",VLOOKUP($B151,Trades!$B$9:$O$59,10,FALSE),"")</f>
        <v/>
      </c>
      <c r="G151" s="39" t="str">
        <f>IF(VLOOKUP($B151,Trades!$B$9:$O$59,6,FALSE)="Buy",VLOOKUP($B151,Trades!$B$9:$O$59,9,FALSE),"")</f>
        <v/>
      </c>
      <c r="H151" s="39" t="e">
        <f>IF(C151="","",INDEX('Price Inputs'!$C$5:$J$49,MATCH(C151,'Price Inputs'!$C$5:$C$49,0),MATCH($E$2,'Price Inputs'!$C$5:$J$5,0)))</f>
        <v>#N/A</v>
      </c>
      <c r="I151" s="37">
        <f>IF(VLOOKUP($B151,Trades!$B$9:$O$59,6,FALSE)="Sell",VLOOKUP($B151,Trades!$B$9:$O$59,8,FALSE),0)</f>
        <v>0</v>
      </c>
      <c r="J151" s="38" t="str">
        <f>IF(VLOOKUP($B151,Trades!$B$9:$O$59,6,FALSE)="Sell",VLOOKUP($B151,Trades!$B$9:$O$59,12,FALSE),"")</f>
        <v/>
      </c>
      <c r="K151" s="39" t="str">
        <f>IF(VLOOKUP($B151,Trades!$B$9:$O$59,6,FALSE)="Sell",VLOOKUP($B151,Trades!$B$9:$O$59,13,FALSE),"")</f>
        <v/>
      </c>
      <c r="L151" s="40" t="str">
        <f t="shared" si="13"/>
        <v/>
      </c>
      <c r="M151" s="40" t="e">
        <f>VLOOKUP(C151,'Portfolio Bucket'!$N$3:$Q$69,4,FALSE)</f>
        <v>#N/A</v>
      </c>
      <c r="N151" s="40" t="e">
        <f>IF(C151="","",VLOOKUP(C151,'Portfolio Bucket'!$N$2:$Q$69,4,FALSE)*I151)</f>
        <v>#N/A</v>
      </c>
      <c r="O151" s="41" t="str">
        <f t="shared" si="10"/>
        <v xml:space="preserve"> </v>
      </c>
      <c r="P151" s="42" t="str">
        <f t="shared" si="17"/>
        <v/>
      </c>
      <c r="Q151" s="43" t="str">
        <f t="shared" si="18"/>
        <v/>
      </c>
      <c r="R151" s="42" t="e">
        <f t="shared" si="14"/>
        <v>#VALUE!</v>
      </c>
      <c r="S151" s="316" t="e">
        <f t="shared" si="15"/>
        <v>#VALUE!</v>
      </c>
      <c r="T151" s="44" t="str">
        <f t="shared" si="16"/>
        <v/>
      </c>
      <c r="U151" s="36" t="str">
        <f>IF(Trades!E49="","",Trades!E49)</f>
        <v/>
      </c>
      <c r="V151" s="36" t="str">
        <f>IF(Trades!F49="","",Trades!F49)</f>
        <v/>
      </c>
    </row>
    <row r="152" spans="2:22" ht="17.25" customHeight="1" x14ac:dyDescent="0.2">
      <c r="B152" s="45">
        <v>19</v>
      </c>
      <c r="C152" s="37">
        <f>IF(ISERROR(VLOOKUP(B152,Trades!$B$9:$C$59,2,FALSE)),"",VLOOKUP(B152,Trades!$B$9:$C$59,2,FALSE))</f>
        <v>0</v>
      </c>
      <c r="D152" s="37" t="e">
        <f>IF(C152="","",VLOOKUP(C152,'ETF List'!$C$2:$E$90,3,FALSE))</f>
        <v>#N/A</v>
      </c>
      <c r="E152" s="37" t="str">
        <f>IF(VLOOKUP(B152,Trades!$B$9:$O$59,6,FALSE)="Buy",VLOOKUP(B152,Trades!$B$9:$O$59,8,FALSE),"")</f>
        <v/>
      </c>
      <c r="F152" s="38" t="str">
        <f>IF(VLOOKUP($B152,Trades!$B$9:$O$59,6,FALSE)="Buy",VLOOKUP($B152,Trades!$B$9:$O$59,10,FALSE),"")</f>
        <v/>
      </c>
      <c r="G152" s="39" t="str">
        <f>IF(VLOOKUP($B152,Trades!$B$9:$O$59,6,FALSE)="Buy",VLOOKUP($B152,Trades!$B$9:$O$59,9,FALSE),"")</f>
        <v/>
      </c>
      <c r="H152" s="39" t="e">
        <f>IF(C152="","",INDEX('Price Inputs'!$C$5:$J$49,MATCH(C152,'Price Inputs'!$C$5:$C$49,0),MATCH($E$2,'Price Inputs'!$C$5:$J$5,0)))</f>
        <v>#N/A</v>
      </c>
      <c r="I152" s="37">
        <f>IF(VLOOKUP($B152,Trades!$B$9:$O$59,6,FALSE)="Sell",VLOOKUP($B152,Trades!$B$9:$O$59,8,FALSE),0)</f>
        <v>0</v>
      </c>
      <c r="J152" s="38" t="str">
        <f>IF(VLOOKUP($B152,Trades!$B$9:$O$59,6,FALSE)="Sell",VLOOKUP($B152,Trades!$B$9:$O$59,12,FALSE),"")</f>
        <v/>
      </c>
      <c r="K152" s="39" t="str">
        <f>IF(VLOOKUP($B152,Trades!$B$9:$O$59,6,FALSE)="Sell",VLOOKUP($B152,Trades!$B$9:$O$59,13,FALSE),"")</f>
        <v/>
      </c>
      <c r="L152" s="40" t="str">
        <f t="shared" si="13"/>
        <v/>
      </c>
      <c r="M152" s="40" t="e">
        <f>VLOOKUP(C152,'Portfolio Bucket'!$N$3:$Q$69,4,FALSE)</f>
        <v>#N/A</v>
      </c>
      <c r="N152" s="40" t="e">
        <f>IF(C152="","",VLOOKUP(C152,'Portfolio Bucket'!$N$2:$Q$69,4,FALSE)*I152)</f>
        <v>#N/A</v>
      </c>
      <c r="O152" s="41" t="str">
        <f t="shared" si="10"/>
        <v xml:space="preserve"> </v>
      </c>
      <c r="P152" s="42" t="str">
        <f t="shared" si="17"/>
        <v/>
      </c>
      <c r="Q152" s="43" t="str">
        <f t="shared" si="18"/>
        <v/>
      </c>
      <c r="R152" s="42" t="e">
        <f t="shared" si="14"/>
        <v>#VALUE!</v>
      </c>
      <c r="S152" s="316" t="e">
        <f t="shared" si="15"/>
        <v>#VALUE!</v>
      </c>
      <c r="T152" s="44" t="str">
        <f t="shared" si="16"/>
        <v/>
      </c>
      <c r="U152" s="36" t="str">
        <f>IF(Trades!E50="","",Trades!E50)</f>
        <v/>
      </c>
      <c r="V152" s="36" t="str">
        <f>IF(Trades!F50="","",Trades!F50)</f>
        <v/>
      </c>
    </row>
    <row r="153" spans="2:22" ht="17.25" customHeight="1" x14ac:dyDescent="0.2">
      <c r="B153" s="45">
        <v>20</v>
      </c>
      <c r="C153" s="37">
        <f>IF(ISERROR(VLOOKUP(B153,Trades!$B$9:$C$59,2,FALSE)),"",VLOOKUP(B153,Trades!$B$9:$C$59,2,FALSE))</f>
        <v>0</v>
      </c>
      <c r="D153" s="37" t="e">
        <f>IF(C153="","",VLOOKUP(C153,'ETF List'!$C$2:$E$90,3,FALSE))</f>
        <v>#N/A</v>
      </c>
      <c r="E153" s="37" t="str">
        <f>IF(VLOOKUP(B153,Trades!$B$9:$O$59,6,FALSE)="Buy",VLOOKUP(B153,Trades!$B$9:$O$59,8,FALSE),"")</f>
        <v/>
      </c>
      <c r="F153" s="38" t="str">
        <f>IF(VLOOKUP($B153,Trades!$B$9:$O$59,6,FALSE)="Buy",VLOOKUP($B153,Trades!$B$9:$O$59,10,FALSE),"")</f>
        <v/>
      </c>
      <c r="G153" s="39" t="str">
        <f>IF(VLOOKUP($B153,Trades!$B$9:$O$59,6,FALSE)="Buy",VLOOKUP($B153,Trades!$B$9:$O$59,9,FALSE),"")</f>
        <v/>
      </c>
      <c r="H153" s="39" t="e">
        <f>IF(C153="","",INDEX('Price Inputs'!$C$5:$J$49,MATCH(C153,'Price Inputs'!$C$5:$C$49,0),MATCH($E$2,'Price Inputs'!$C$5:$J$5,0)))</f>
        <v>#N/A</v>
      </c>
      <c r="I153" s="37">
        <f>IF(VLOOKUP($B153,Trades!$B$9:$O$59,6,FALSE)="Sell",VLOOKUP($B153,Trades!$B$9:$O$59,8,FALSE),0)</f>
        <v>0</v>
      </c>
      <c r="J153" s="38" t="str">
        <f>IF(VLOOKUP($B153,Trades!$B$9:$O$59,6,FALSE)="Sell",VLOOKUP($B153,Trades!$B$9:$O$59,12,FALSE),"")</f>
        <v/>
      </c>
      <c r="K153" s="39" t="str">
        <f>IF(VLOOKUP($B153,Trades!$B$9:$O$59,6,FALSE)="Sell",VLOOKUP($B153,Trades!$B$9:$O$59,13,FALSE),"")</f>
        <v/>
      </c>
      <c r="L153" s="40" t="str">
        <f t="shared" si="13"/>
        <v/>
      </c>
      <c r="M153" s="40" t="e">
        <f>VLOOKUP(C153,'Portfolio Bucket'!$N$3:$Q$69,4,FALSE)</f>
        <v>#N/A</v>
      </c>
      <c r="N153" s="40" t="e">
        <f>IF(C153="","",VLOOKUP(C153,'Portfolio Bucket'!$N$2:$Q$69,4,FALSE)*I153)</f>
        <v>#N/A</v>
      </c>
      <c r="O153" s="41" t="str">
        <f t="shared" si="10"/>
        <v xml:space="preserve"> </v>
      </c>
      <c r="P153" s="42" t="str">
        <f t="shared" si="17"/>
        <v/>
      </c>
      <c r="Q153" s="43" t="str">
        <f t="shared" si="18"/>
        <v/>
      </c>
      <c r="R153" s="42" t="e">
        <f t="shared" si="14"/>
        <v>#VALUE!</v>
      </c>
      <c r="S153" s="316" t="e">
        <f t="shared" si="15"/>
        <v>#VALUE!</v>
      </c>
      <c r="T153" s="44" t="str">
        <f t="shared" si="16"/>
        <v/>
      </c>
      <c r="U153" s="36" t="str">
        <f>IF(Trades!E51="","",Trades!E51)</f>
        <v/>
      </c>
      <c r="V153" s="36" t="str">
        <f>IF(Trades!F51="","",Trades!F51)</f>
        <v/>
      </c>
    </row>
    <row r="154" spans="2:22" ht="17.25" customHeight="1" x14ac:dyDescent="0.2">
      <c r="B154" s="45">
        <v>21</v>
      </c>
      <c r="C154" s="37">
        <f>IF(ISERROR(VLOOKUP(B154,Trades!$B$9:$C$59,2,FALSE)),"",VLOOKUP(B154,Trades!$B$9:$C$59,2,FALSE))</f>
        <v>0</v>
      </c>
      <c r="D154" s="37" t="e">
        <f>IF(C154="","",VLOOKUP(C154,'ETF List'!$C$2:$E$90,3,FALSE))</f>
        <v>#N/A</v>
      </c>
      <c r="E154" s="37" t="str">
        <f>IF(VLOOKUP(B154,Trades!$B$9:$O$59,6,FALSE)="Buy",VLOOKUP(B154,Trades!$B$9:$O$59,8,FALSE),"")</f>
        <v/>
      </c>
      <c r="F154" s="38" t="str">
        <f>IF(VLOOKUP($B154,Trades!$B$9:$O$59,6,FALSE)="Buy",VLOOKUP($B154,Trades!$B$9:$O$59,10,FALSE),"")</f>
        <v/>
      </c>
      <c r="G154" s="39" t="str">
        <f>IF(VLOOKUP($B154,Trades!$B$9:$O$59,6,FALSE)="Buy",VLOOKUP($B154,Trades!$B$9:$O$59,9,FALSE),"")</f>
        <v/>
      </c>
      <c r="H154" s="39" t="e">
        <f>IF(C154="","",INDEX('Price Inputs'!$C$5:$J$49,MATCH(C154,'Price Inputs'!$C$5:$C$49,0),MATCH($E$2,'Price Inputs'!$C$5:$J$5,0)))</f>
        <v>#N/A</v>
      </c>
      <c r="I154" s="37">
        <f>IF(VLOOKUP($B154,Trades!$B$9:$O$59,6,FALSE)="Sell",VLOOKUP($B154,Trades!$B$9:$O$59,8,FALSE),0)</f>
        <v>0</v>
      </c>
      <c r="J154" s="38" t="str">
        <f>IF(VLOOKUP($B154,Trades!$B$9:$O$59,6,FALSE)="Sell",VLOOKUP($B154,Trades!$B$9:$O$59,12,FALSE),"")</f>
        <v/>
      </c>
      <c r="K154" s="39" t="str">
        <f>IF(VLOOKUP($B154,Trades!$B$9:$O$59,6,FALSE)="Sell",VLOOKUP($B154,Trades!$B$9:$O$59,13,FALSE),"")</f>
        <v/>
      </c>
      <c r="L154" s="40" t="str">
        <f t="shared" si="13"/>
        <v/>
      </c>
      <c r="M154" s="40" t="e">
        <f>VLOOKUP(C154,'Portfolio Bucket'!$N$3:$Q$69,4,FALSE)</f>
        <v>#N/A</v>
      </c>
      <c r="N154" s="40" t="e">
        <f>IF(C154="","",VLOOKUP(C154,'Portfolio Bucket'!$N$2:$Q$69,4,FALSE)*I154)</f>
        <v>#N/A</v>
      </c>
      <c r="O154" s="41" t="str">
        <f t="shared" si="10"/>
        <v xml:space="preserve"> </v>
      </c>
      <c r="P154" s="42" t="str">
        <f t="shared" si="17"/>
        <v/>
      </c>
      <c r="Q154" s="43" t="str">
        <f t="shared" si="18"/>
        <v/>
      </c>
      <c r="R154" s="42" t="e">
        <f t="shared" si="14"/>
        <v>#VALUE!</v>
      </c>
      <c r="S154" s="316" t="e">
        <f t="shared" si="15"/>
        <v>#VALUE!</v>
      </c>
      <c r="T154" s="44" t="str">
        <f t="shared" si="16"/>
        <v/>
      </c>
      <c r="U154" s="36" t="str">
        <f>IF(Trades!E52="","",Trades!E52)</f>
        <v/>
      </c>
      <c r="V154" s="36" t="str">
        <f>IF(Trades!F52="","",Trades!F52)</f>
        <v/>
      </c>
    </row>
    <row r="155" spans="2:22" ht="17.25" customHeight="1" x14ac:dyDescent="0.2">
      <c r="B155" s="45">
        <v>22</v>
      </c>
      <c r="C155" s="37">
        <f>IF(ISERROR(VLOOKUP(B155,Trades!$B$9:$C$59,2,FALSE)),"",VLOOKUP(B155,Trades!$B$9:$C$59,2,FALSE))</f>
        <v>0</v>
      </c>
      <c r="D155" s="37" t="e">
        <f>IF(C155="","",VLOOKUP(C155,'ETF List'!$C$2:$E$90,3,FALSE))</f>
        <v>#N/A</v>
      </c>
      <c r="E155" s="37" t="str">
        <f>IF(VLOOKUP(B155,Trades!$B$9:$O$59,6,FALSE)="Buy",VLOOKUP(B155,Trades!$B$9:$O$59,8,FALSE),"")</f>
        <v/>
      </c>
      <c r="F155" s="38" t="str">
        <f>IF(VLOOKUP($B155,Trades!$B$9:$O$59,6,FALSE)="Buy",VLOOKUP($B155,Trades!$B$9:$O$59,10,FALSE),"")</f>
        <v/>
      </c>
      <c r="G155" s="39" t="str">
        <f>IF(VLOOKUP($B155,Trades!$B$9:$O$59,6,FALSE)="Buy",VLOOKUP($B155,Trades!$B$9:$O$59,9,FALSE),"")</f>
        <v/>
      </c>
      <c r="H155" s="39" t="e">
        <f>IF(C155="","",INDEX('Price Inputs'!$C$5:$J$49,MATCH(C155,'Price Inputs'!$C$5:$C$49,0),MATCH($E$2,'Price Inputs'!$C$5:$J$5,0)))</f>
        <v>#N/A</v>
      </c>
      <c r="I155" s="37">
        <f>IF(VLOOKUP($B155,Trades!$B$9:$O$59,6,FALSE)="Sell",VLOOKUP($B155,Trades!$B$9:$O$59,8,FALSE),0)</f>
        <v>0</v>
      </c>
      <c r="J155" s="38" t="str">
        <f>IF(VLOOKUP($B155,Trades!$B$9:$O$59,6,FALSE)="Sell",VLOOKUP($B155,Trades!$B$9:$O$59,12,FALSE),"")</f>
        <v/>
      </c>
      <c r="K155" s="39" t="str">
        <f>IF(VLOOKUP($B155,Trades!$B$9:$O$59,6,FALSE)="Sell",VLOOKUP($B155,Trades!$B$9:$O$59,13,FALSE),"")</f>
        <v/>
      </c>
      <c r="L155" s="40" t="str">
        <f t="shared" si="13"/>
        <v/>
      </c>
      <c r="M155" s="40" t="e">
        <f>VLOOKUP(C155,'Portfolio Bucket'!$N$3:$Q$69,4,FALSE)</f>
        <v>#N/A</v>
      </c>
      <c r="N155" s="40" t="e">
        <f>IF(C155="","",VLOOKUP(C155,'Portfolio Bucket'!$N$2:$Q$69,4,FALSE)*I155)</f>
        <v>#N/A</v>
      </c>
      <c r="O155" s="41" t="str">
        <f t="shared" si="10"/>
        <v xml:space="preserve"> </v>
      </c>
      <c r="P155" s="42" t="str">
        <f t="shared" si="17"/>
        <v/>
      </c>
      <c r="Q155" s="43" t="str">
        <f t="shared" si="18"/>
        <v/>
      </c>
      <c r="R155" s="42" t="e">
        <f t="shared" si="14"/>
        <v>#VALUE!</v>
      </c>
      <c r="S155" s="316" t="e">
        <f t="shared" si="15"/>
        <v>#VALUE!</v>
      </c>
      <c r="T155" s="44" t="str">
        <f t="shared" si="16"/>
        <v/>
      </c>
      <c r="U155" s="36" t="str">
        <f>IF(Trades!E53="","",Trades!E53)</f>
        <v/>
      </c>
      <c r="V155" s="36" t="str">
        <f>IF(Trades!F53="","",Trades!F53)</f>
        <v/>
      </c>
    </row>
    <row r="156" spans="2:22" ht="17.25" customHeight="1" x14ac:dyDescent="0.2">
      <c r="B156" s="45">
        <v>23</v>
      </c>
      <c r="C156" s="37">
        <f>IF(ISERROR(VLOOKUP(B156,Trades!$B$9:$C$59,2,FALSE)),"",VLOOKUP(B156,Trades!$B$9:$C$59,2,FALSE))</f>
        <v>0</v>
      </c>
      <c r="D156" s="37" t="e">
        <f>IF(C156="","",VLOOKUP(C156,'ETF List'!$C$2:$E$90,3,FALSE))</f>
        <v>#N/A</v>
      </c>
      <c r="E156" s="37" t="str">
        <f>IF(VLOOKUP(B156,Trades!$B$9:$O$59,6,FALSE)="Buy",VLOOKUP(B156,Trades!$B$9:$O$59,8,FALSE),"")</f>
        <v/>
      </c>
      <c r="F156" s="38" t="str">
        <f>IF(VLOOKUP($B156,Trades!$B$9:$O$59,6,FALSE)="Buy",VLOOKUP($B156,Trades!$B$9:$O$59,10,FALSE),"")</f>
        <v/>
      </c>
      <c r="G156" s="39" t="str">
        <f>IF(VLOOKUP($B156,Trades!$B$9:$O$59,6,FALSE)="Buy",VLOOKUP($B156,Trades!$B$9:$O$59,9,FALSE),"")</f>
        <v/>
      </c>
      <c r="H156" s="39" t="e">
        <f>IF(C156="","",INDEX('Price Inputs'!$C$5:$J$49,MATCH(C156,'Price Inputs'!$C$5:$C$49,0),MATCH($E$2,'Price Inputs'!$C$5:$J$5,0)))</f>
        <v>#N/A</v>
      </c>
      <c r="I156" s="37">
        <f>IF(VLOOKUP($B156,Trades!$B$9:$O$59,6,FALSE)="Sell",VLOOKUP($B156,Trades!$B$9:$O$59,8,FALSE),0)</f>
        <v>0</v>
      </c>
      <c r="J156" s="38" t="str">
        <f>IF(VLOOKUP($B156,Trades!$B$9:$O$59,6,FALSE)="Sell",VLOOKUP($B156,Trades!$B$9:$O$59,12,FALSE),"")</f>
        <v/>
      </c>
      <c r="K156" s="39" t="str">
        <f>IF(VLOOKUP($B156,Trades!$B$9:$O$59,6,FALSE)="Sell",VLOOKUP($B156,Trades!$B$9:$O$59,13,FALSE),"")</f>
        <v/>
      </c>
      <c r="L156" s="40" t="str">
        <f t="shared" si="13"/>
        <v/>
      </c>
      <c r="M156" s="40" t="e">
        <f>VLOOKUP(C156,'Portfolio Bucket'!$N$3:$Q$69,4,FALSE)</f>
        <v>#N/A</v>
      </c>
      <c r="N156" s="40" t="e">
        <f>IF(C156="","",VLOOKUP(C156,'Portfolio Bucket'!$N$2:$Q$69,4,FALSE)*I156)</f>
        <v>#N/A</v>
      </c>
      <c r="O156" s="41" t="str">
        <f t="shared" si="10"/>
        <v xml:space="preserve"> </v>
      </c>
      <c r="P156" s="42" t="str">
        <f t="shared" si="17"/>
        <v/>
      </c>
      <c r="Q156" s="43" t="str">
        <f t="shared" si="18"/>
        <v/>
      </c>
      <c r="R156" s="42" t="e">
        <f t="shared" si="14"/>
        <v>#VALUE!</v>
      </c>
      <c r="S156" s="316" t="e">
        <f t="shared" si="15"/>
        <v>#VALUE!</v>
      </c>
      <c r="T156" s="44" t="str">
        <f t="shared" si="16"/>
        <v/>
      </c>
      <c r="U156" s="36" t="str">
        <f>IF(Trades!E54="","",Trades!E54)</f>
        <v/>
      </c>
      <c r="V156" s="36" t="str">
        <f>IF(Trades!F54="","",Trades!F54)</f>
        <v/>
      </c>
    </row>
    <row r="157" spans="2:22" ht="17.25" customHeight="1" x14ac:dyDescent="0.2">
      <c r="B157" s="45">
        <v>24</v>
      </c>
      <c r="C157" s="37">
        <f>IF(ISERROR(VLOOKUP(B157,Trades!$B$9:$C$59,2,FALSE)),"",VLOOKUP(B157,Trades!$B$9:$C$59,2,FALSE))</f>
        <v>0</v>
      </c>
      <c r="D157" s="37" t="e">
        <f>IF(C157="","",VLOOKUP(C157,'ETF List'!$C$2:$E$90,3,FALSE))</f>
        <v>#N/A</v>
      </c>
      <c r="E157" s="37" t="str">
        <f>IF(VLOOKUP(B157,Trades!$B$9:$O$59,6,FALSE)="Buy",VLOOKUP(B157,Trades!$B$9:$O$59,8,FALSE),"")</f>
        <v/>
      </c>
      <c r="F157" s="38" t="str">
        <f>IF(VLOOKUP($B157,Trades!$B$9:$O$59,6,FALSE)="Buy",VLOOKUP($B157,Trades!$B$9:$O$59,10,FALSE),"")</f>
        <v/>
      </c>
      <c r="G157" s="39" t="str">
        <f>IF(VLOOKUP($B157,Trades!$B$9:$O$59,6,FALSE)="Buy",VLOOKUP($B157,Trades!$B$9:$O$59,9,FALSE),"")</f>
        <v/>
      </c>
      <c r="H157" s="39" t="e">
        <f>IF(C157="","",INDEX('Price Inputs'!$C$5:$J$49,MATCH(C157,'Price Inputs'!$C$5:$C$49,0),MATCH($E$2,'Price Inputs'!$C$5:$J$5,0)))</f>
        <v>#N/A</v>
      </c>
      <c r="I157" s="37">
        <f>IF(VLOOKUP($B157,Trades!$B$9:$O$59,6,FALSE)="Sell",VLOOKUP($B157,Trades!$B$9:$O$59,8,FALSE),0)</f>
        <v>0</v>
      </c>
      <c r="J157" s="38" t="str">
        <f>IF(VLOOKUP($B157,Trades!$B$9:$O$59,6,FALSE)="Sell",VLOOKUP($B157,Trades!$B$9:$O$59,12,FALSE),"")</f>
        <v/>
      </c>
      <c r="K157" s="39" t="str">
        <f>IF(VLOOKUP($B157,Trades!$B$9:$O$59,6,FALSE)="Sell",VLOOKUP($B157,Trades!$B$9:$O$59,13,FALSE),"")</f>
        <v/>
      </c>
      <c r="L157" s="40" t="str">
        <f t="shared" si="13"/>
        <v/>
      </c>
      <c r="M157" s="40" t="e">
        <f>VLOOKUP(C157,'Portfolio Bucket'!$N$3:$Q$69,4,FALSE)</f>
        <v>#N/A</v>
      </c>
      <c r="N157" s="40" t="e">
        <f>IF(C157="","",VLOOKUP(C157,'Portfolio Bucket'!$N$2:$Q$69,4,FALSE)*I157)</f>
        <v>#N/A</v>
      </c>
      <c r="O157" s="41" t="str">
        <f t="shared" si="10"/>
        <v xml:space="preserve"> </v>
      </c>
      <c r="P157" s="42" t="str">
        <f t="shared" si="17"/>
        <v/>
      </c>
      <c r="Q157" s="43" t="str">
        <f t="shared" si="18"/>
        <v/>
      </c>
      <c r="R157" s="42" t="e">
        <f t="shared" si="14"/>
        <v>#VALUE!</v>
      </c>
      <c r="S157" s="316" t="e">
        <f t="shared" si="15"/>
        <v>#VALUE!</v>
      </c>
      <c r="T157" s="44" t="str">
        <f t="shared" si="16"/>
        <v/>
      </c>
      <c r="U157" s="36" t="str">
        <f>IF(Trades!E55="","",Trades!E55)</f>
        <v/>
      </c>
      <c r="V157" s="36" t="str">
        <f>IF(Trades!F55="","",Trades!F55)</f>
        <v/>
      </c>
    </row>
    <row r="158" spans="2:22" ht="17.25" customHeight="1" x14ac:dyDescent="0.2">
      <c r="B158" s="45">
        <v>25</v>
      </c>
      <c r="C158" s="37">
        <f>IF(ISERROR(VLOOKUP(B158,Trades!$B$9:$C$59,2,FALSE)),"",VLOOKUP(B158,Trades!$B$9:$C$59,2,FALSE))</f>
        <v>0</v>
      </c>
      <c r="D158" s="37" t="e">
        <f>IF(C158="","",VLOOKUP(C158,'ETF List'!$C$2:$E$90,3,FALSE))</f>
        <v>#N/A</v>
      </c>
      <c r="E158" s="37" t="str">
        <f>IF(VLOOKUP(B158,Trades!$B$9:$O$59,6,FALSE)="Buy",VLOOKUP(B158,Trades!$B$9:$O$59,8,FALSE),"")</f>
        <v/>
      </c>
      <c r="F158" s="38" t="str">
        <f>IF(VLOOKUP($B158,Trades!$B$9:$O$59,6,FALSE)="Buy",VLOOKUP($B158,Trades!$B$9:$O$59,10,FALSE),"")</f>
        <v/>
      </c>
      <c r="G158" s="39" t="str">
        <f>IF(VLOOKUP($B158,Trades!$B$9:$O$59,6,FALSE)="Buy",VLOOKUP($B158,Trades!$B$9:$O$59,9,FALSE),"")</f>
        <v/>
      </c>
      <c r="H158" s="39" t="e">
        <f>IF(C158="","",INDEX('Price Inputs'!$C$5:$J$49,MATCH(C158,'Price Inputs'!$C$5:$C$49,0),MATCH($E$2,'Price Inputs'!$C$5:$J$5,0)))</f>
        <v>#N/A</v>
      </c>
      <c r="I158" s="37">
        <f>IF(VLOOKUP($B158,Trades!$B$9:$O$59,6,FALSE)="Sell",VLOOKUP($B158,Trades!$B$9:$O$59,8,FALSE),0)</f>
        <v>0</v>
      </c>
      <c r="J158" s="38" t="str">
        <f>IF(VLOOKUP($B158,Trades!$B$9:$O$59,6,FALSE)="Sell",VLOOKUP($B158,Trades!$B$9:$O$59,12,FALSE),"")</f>
        <v/>
      </c>
      <c r="K158" s="39" t="str">
        <f>IF(VLOOKUP($B158,Trades!$B$9:$O$59,6,FALSE)="Sell",VLOOKUP($B158,Trades!$B$9:$O$59,13,FALSE),"")</f>
        <v/>
      </c>
      <c r="L158" s="40" t="str">
        <f t="shared" si="13"/>
        <v/>
      </c>
      <c r="M158" s="40" t="e">
        <f>VLOOKUP(C158,'Portfolio Bucket'!$N$3:$Q$69,4,FALSE)</f>
        <v>#N/A</v>
      </c>
      <c r="N158" s="40" t="e">
        <f>IF(C158="","",VLOOKUP(C158,'Portfolio Bucket'!$N$2:$Q$69,4,FALSE)*I158)</f>
        <v>#N/A</v>
      </c>
      <c r="O158" s="41" t="str">
        <f t="shared" si="10"/>
        <v xml:space="preserve"> </v>
      </c>
      <c r="P158" s="42" t="str">
        <f t="shared" si="17"/>
        <v/>
      </c>
      <c r="Q158" s="43" t="str">
        <f t="shared" si="18"/>
        <v/>
      </c>
      <c r="R158" s="42" t="e">
        <f t="shared" si="14"/>
        <v>#VALUE!</v>
      </c>
      <c r="S158" s="316" t="e">
        <f t="shared" si="15"/>
        <v>#VALUE!</v>
      </c>
      <c r="T158" s="44" t="str">
        <f t="shared" si="16"/>
        <v/>
      </c>
      <c r="U158" s="36" t="str">
        <f>IF(Trades!E56="","",Trades!E56)</f>
        <v/>
      </c>
      <c r="V158" s="36" t="str">
        <f>IF(Trades!F56="","",Trades!F56)</f>
        <v/>
      </c>
    </row>
    <row r="159" spans="2:22" ht="17.25" customHeight="1" x14ac:dyDescent="0.2">
      <c r="B159" s="45">
        <v>26</v>
      </c>
      <c r="C159" s="37">
        <f>IF(ISERROR(VLOOKUP(B159,Trades!$B$9:$C$59,2,FALSE)),"",VLOOKUP(B159,Trades!$B$9:$C$59,2,FALSE))</f>
        <v>0</v>
      </c>
      <c r="D159" s="37" t="e">
        <f>IF(C159="","",VLOOKUP(C159,'ETF List'!$C$2:$E$90,3,FALSE))</f>
        <v>#N/A</v>
      </c>
      <c r="E159" s="37" t="str">
        <f>IF(VLOOKUP(B159,Trades!$B$9:$O$59,6,FALSE)="Buy",VLOOKUP(B159,Trades!$B$9:$O$59,8,FALSE),"")</f>
        <v/>
      </c>
      <c r="F159" s="38" t="str">
        <f>IF(VLOOKUP($B159,Trades!$B$9:$O$59,6,FALSE)="Buy",VLOOKUP($B159,Trades!$B$9:$O$59,10,FALSE),"")</f>
        <v/>
      </c>
      <c r="G159" s="39" t="str">
        <f>IF(VLOOKUP($B159,Trades!$B$9:$O$59,6,FALSE)="Buy",VLOOKUP($B159,Trades!$B$9:$O$59,9,FALSE),"")</f>
        <v/>
      </c>
      <c r="H159" s="39" t="e">
        <f>IF(C159="","",INDEX('Price Inputs'!$C$5:$J$49,MATCH(C159,'Price Inputs'!$C$5:$C$49,0),MATCH($E$2,'Price Inputs'!$C$5:$J$5,0)))</f>
        <v>#N/A</v>
      </c>
      <c r="I159" s="37">
        <f>IF(VLOOKUP($B159,Trades!$B$9:$O$59,6,FALSE)="Sell",VLOOKUP($B159,Trades!$B$9:$O$59,8,FALSE),0)</f>
        <v>0</v>
      </c>
      <c r="J159" s="38" t="str">
        <f>IF(VLOOKUP($B159,Trades!$B$9:$O$59,6,FALSE)="Sell",VLOOKUP($B159,Trades!$B$9:$O$59,12,FALSE),"")</f>
        <v/>
      </c>
      <c r="K159" s="39" t="str">
        <f>IF(VLOOKUP($B159,Trades!$B$9:$O$59,6,FALSE)="Sell",VLOOKUP($B159,Trades!$B$9:$O$59,13,FALSE),"")</f>
        <v/>
      </c>
      <c r="L159" s="40" t="str">
        <f t="shared" si="13"/>
        <v/>
      </c>
      <c r="M159" s="40" t="e">
        <f>VLOOKUP(C159,'Portfolio Bucket'!$N$3:$Q$69,4,FALSE)</f>
        <v>#N/A</v>
      </c>
      <c r="N159" s="40" t="e">
        <f>IF(C159="","",VLOOKUP(C159,'Portfolio Bucket'!$N$2:$Q$69,4,FALSE)*I159)</f>
        <v>#N/A</v>
      </c>
      <c r="O159" s="41" t="str">
        <f t="shared" si="10"/>
        <v xml:space="preserve"> </v>
      </c>
      <c r="P159" s="42" t="str">
        <f t="shared" si="17"/>
        <v/>
      </c>
      <c r="Q159" s="43" t="str">
        <f t="shared" si="18"/>
        <v/>
      </c>
      <c r="R159" s="42" t="e">
        <f t="shared" si="14"/>
        <v>#VALUE!</v>
      </c>
      <c r="S159" s="316" t="e">
        <f t="shared" si="15"/>
        <v>#VALUE!</v>
      </c>
      <c r="T159" s="44" t="str">
        <f t="shared" si="16"/>
        <v/>
      </c>
      <c r="U159" s="36" t="str">
        <f>IF(Trades!E57="","",Trades!E57)</f>
        <v/>
      </c>
      <c r="V159" s="36" t="str">
        <f>IF(Trades!F57="","",Trades!F57)</f>
        <v/>
      </c>
    </row>
    <row r="160" spans="2:22" ht="17.25" customHeight="1" x14ac:dyDescent="0.2">
      <c r="B160" s="45">
        <v>27</v>
      </c>
      <c r="C160" s="37">
        <f>IF(ISERROR(VLOOKUP(B160,Trades!$B$9:$C$59,2,FALSE)),"",VLOOKUP(B160,Trades!$B$9:$C$59,2,FALSE))</f>
        <v>0</v>
      </c>
      <c r="D160" s="37" t="e">
        <f>IF(C160="","",VLOOKUP(C160,'ETF List'!$C$2:$E$90,3,FALSE))</f>
        <v>#N/A</v>
      </c>
      <c r="E160" s="37" t="str">
        <f>IF(VLOOKUP(B160,Trades!$B$9:$O$59,6,FALSE)="Buy",VLOOKUP(B160,Trades!$B$9:$O$59,8,FALSE),"")</f>
        <v/>
      </c>
      <c r="F160" s="38" t="str">
        <f>IF(VLOOKUP($B160,Trades!$B$9:$O$59,6,FALSE)="Buy",VLOOKUP($B160,Trades!$B$9:$O$59,10,FALSE),"")</f>
        <v/>
      </c>
      <c r="G160" s="39" t="str">
        <f>IF(VLOOKUP($B160,Trades!$B$9:$O$59,6,FALSE)="Buy",VLOOKUP($B160,Trades!$B$9:$O$59,9,FALSE),"")</f>
        <v/>
      </c>
      <c r="H160" s="39" t="e">
        <f>IF(C160="","",INDEX('Price Inputs'!$C$5:$J$49,MATCH(C160,'Price Inputs'!$C$5:$C$49,0),MATCH($E$2,'Price Inputs'!$C$5:$J$5,0)))</f>
        <v>#N/A</v>
      </c>
      <c r="I160" s="37">
        <f>IF(VLOOKUP($B160,Trades!$B$9:$O$59,6,FALSE)="Sell",VLOOKUP($B160,Trades!$B$9:$O$59,8,FALSE),0)</f>
        <v>0</v>
      </c>
      <c r="J160" s="38" t="str">
        <f>IF(VLOOKUP($B160,Trades!$B$9:$O$59,6,FALSE)="Sell",VLOOKUP($B160,Trades!$B$9:$O$59,12,FALSE),"")</f>
        <v/>
      </c>
      <c r="K160" s="39" t="str">
        <f>IF(VLOOKUP($B160,Trades!$B$9:$O$59,6,FALSE)="Sell",VLOOKUP($B160,Trades!$B$9:$O$59,13,FALSE),"")</f>
        <v/>
      </c>
      <c r="L160" s="40" t="str">
        <f t="shared" si="13"/>
        <v/>
      </c>
      <c r="M160" s="40" t="e">
        <f>VLOOKUP(C160,'Portfolio Bucket'!$N$3:$Q$69,4,FALSE)</f>
        <v>#N/A</v>
      </c>
      <c r="N160" s="40" t="e">
        <f>IF(C160="","",VLOOKUP(C160,'Portfolio Bucket'!$N$2:$Q$69,4,FALSE)*I160)</f>
        <v>#N/A</v>
      </c>
      <c r="O160" s="41" t="str">
        <f t="shared" si="10"/>
        <v xml:space="preserve"> </v>
      </c>
      <c r="P160" s="42" t="str">
        <f t="shared" si="17"/>
        <v/>
      </c>
      <c r="Q160" s="43" t="str">
        <f t="shared" si="18"/>
        <v/>
      </c>
      <c r="R160" s="42" t="e">
        <f t="shared" si="14"/>
        <v>#VALUE!</v>
      </c>
      <c r="S160" s="316" t="e">
        <f t="shared" si="15"/>
        <v>#VALUE!</v>
      </c>
      <c r="T160" s="44" t="str">
        <f t="shared" si="16"/>
        <v/>
      </c>
      <c r="U160" s="36" t="str">
        <f>IF(Trades!E58="","",Trades!E58)</f>
        <v/>
      </c>
      <c r="V160" s="36" t="str">
        <f>IF(Trades!F58="","",Trades!F58)</f>
        <v/>
      </c>
    </row>
    <row r="161" spans="2:22" ht="17.25" customHeight="1" x14ac:dyDescent="0.2">
      <c r="B161" s="45">
        <v>28</v>
      </c>
      <c r="C161" s="37">
        <f>IF(ISERROR(VLOOKUP(B161,Trades!$B$9:$C$59,2,FALSE)),"",VLOOKUP(B161,Trades!$B$9:$C$59,2,FALSE))</f>
        <v>0</v>
      </c>
      <c r="D161" s="37" t="e">
        <f>IF(C161="","",VLOOKUP(C161,'ETF List'!$C$2:$E$90,3,FALSE))</f>
        <v>#N/A</v>
      </c>
      <c r="E161" s="37" t="str">
        <f>IF(VLOOKUP(B161,Trades!$B$9:$O$59,6,FALSE)="Buy",VLOOKUP(B161,Trades!$B$9:$O$59,8,FALSE),"")</f>
        <v/>
      </c>
      <c r="F161" s="38" t="str">
        <f>IF(VLOOKUP($B161,Trades!$B$9:$O$59,6,FALSE)="Buy",VLOOKUP($B161,Trades!$B$9:$O$59,10,FALSE),"")</f>
        <v/>
      </c>
      <c r="G161" s="39" t="str">
        <f>IF(VLOOKUP($B161,Trades!$B$9:$O$59,6,FALSE)="Buy",VLOOKUP($B161,Trades!$B$9:$O$59,9,FALSE),"")</f>
        <v/>
      </c>
      <c r="H161" s="39" t="e">
        <f>IF(C161="","",INDEX('Price Inputs'!$C$5:$J$49,MATCH(C161,'Price Inputs'!$C$5:$C$49,0),MATCH($E$2,'Price Inputs'!$C$5:$J$5,0)))</f>
        <v>#N/A</v>
      </c>
      <c r="I161" s="37">
        <f>IF(VLOOKUP($B161,Trades!$B$9:$O$59,6,FALSE)="Sell",VLOOKUP($B161,Trades!$B$9:$O$59,8,FALSE),0)</f>
        <v>0</v>
      </c>
      <c r="J161" s="38" t="str">
        <f>IF(VLOOKUP($B161,Trades!$B$9:$O$59,6,FALSE)="Sell",VLOOKUP($B161,Trades!$B$9:$O$59,12,FALSE),"")</f>
        <v/>
      </c>
      <c r="K161" s="39" t="str">
        <f>IF(VLOOKUP($B161,Trades!$B$9:$O$59,6,FALSE)="Sell",VLOOKUP($B161,Trades!$B$9:$O$59,13,FALSE),"")</f>
        <v/>
      </c>
      <c r="L161" s="40" t="str">
        <f t="shared" si="13"/>
        <v/>
      </c>
      <c r="M161" s="40" t="e">
        <f>VLOOKUP(C161,'Portfolio Bucket'!$N$3:$Q$69,4,FALSE)</f>
        <v>#N/A</v>
      </c>
      <c r="N161" s="40" t="e">
        <f>IF(C161="","",VLOOKUP(C161,'Portfolio Bucket'!$N$2:$Q$69,4,FALSE)*I161)</f>
        <v>#N/A</v>
      </c>
      <c r="O161" s="41" t="str">
        <f t="shared" si="10"/>
        <v xml:space="preserve"> </v>
      </c>
      <c r="P161" s="42" t="str">
        <f t="shared" si="17"/>
        <v/>
      </c>
      <c r="Q161" s="43" t="str">
        <f t="shared" si="18"/>
        <v/>
      </c>
      <c r="R161" s="42" t="e">
        <f t="shared" si="14"/>
        <v>#VALUE!</v>
      </c>
      <c r="S161" s="316" t="e">
        <f t="shared" si="15"/>
        <v>#VALUE!</v>
      </c>
      <c r="T161" s="44" t="str">
        <f t="shared" ref="T161:T172" si="19">IF(E161="","",IF(ISNUMBER(K161),0,E161*H161))</f>
        <v/>
      </c>
      <c r="U161" s="36" t="str">
        <f>IF(Trades!E59="","",Trades!E59)</f>
        <v/>
      </c>
      <c r="V161" s="36" t="str">
        <f>IF(Trades!F59="","",Trades!F59)</f>
        <v/>
      </c>
    </row>
    <row r="162" spans="2:22" ht="17.25" customHeight="1" x14ac:dyDescent="0.2">
      <c r="B162" s="45">
        <v>29</v>
      </c>
      <c r="C162" s="37">
        <f>IF(ISERROR(VLOOKUP(B163,Trades!$B$9:$C$59,2,FALSE)),"",VLOOKUP(B163,Trades!$B$9:$C$59,2,FALSE))</f>
        <v>0</v>
      </c>
      <c r="D162" s="37" t="e">
        <f>IF(C163="","",VLOOKUP(C163,'ETF List'!$C$2:$E$90,3,FALSE))</f>
        <v>#N/A</v>
      </c>
      <c r="E162" s="37" t="str">
        <f>IF(VLOOKUP(B163,Trades!$B$9:$O$59,6,FALSE)="Buy",VLOOKUP(B163,Trades!$B$9:$O$59,8,FALSE),"")</f>
        <v/>
      </c>
      <c r="F162" s="38" t="str">
        <f>IF(VLOOKUP($B163,Trades!$B$9:$O$59,6,FALSE)="Buy",VLOOKUP($B163,Trades!$B$9:$O$59,10,FALSE),"")</f>
        <v/>
      </c>
      <c r="G162" s="39" t="str">
        <f>IF(VLOOKUP($B163,Trades!$B$9:$O$59,6,FALSE)="Buy",VLOOKUP($B163,Trades!$B$9:$O$59,9,FALSE),"")</f>
        <v/>
      </c>
      <c r="H162" s="39" t="e">
        <f>IF(C163="","",INDEX('Price Inputs'!$C$5:$J$49,MATCH(C163,'Price Inputs'!$C$5:$C$49,0),MATCH($E$2,'Price Inputs'!$C$5:$J$5,0)))</f>
        <v>#N/A</v>
      </c>
      <c r="I162" s="37">
        <f>IF(VLOOKUP($B163,Trades!$B$9:$O$59,6,FALSE)="Sell",VLOOKUP($B163,Trades!$B$9:$O$59,8,FALSE),0)</f>
        <v>0</v>
      </c>
      <c r="J162" s="38" t="str">
        <f>IF(VLOOKUP($B163,Trades!$B$9:$O$59,6,FALSE)="Sell",VLOOKUP($B163,Trades!$B$9:$O$59,12,FALSE),"")</f>
        <v/>
      </c>
      <c r="K162" s="39" t="str">
        <f>IF(VLOOKUP($B163,Trades!$B$9:$O$59,6,FALSE)="Sell",VLOOKUP($B163,Trades!$B$9:$O$59,13,FALSE),"")</f>
        <v/>
      </c>
      <c r="L162" s="40" t="str">
        <f t="shared" si="13"/>
        <v/>
      </c>
      <c r="M162" s="40" t="e">
        <f>VLOOKUP(C162,'Portfolio Bucket'!$N$3:$Q$69,4,FALSE)</f>
        <v>#N/A</v>
      </c>
      <c r="N162" s="40" t="e">
        <f>IF(C163="","",VLOOKUP(C163,'Portfolio Bucket'!$N$2:$Q$69,4,FALSE)*I163)</f>
        <v>#N/A</v>
      </c>
      <c r="O162" s="41" t="str">
        <f>IF(ISNUMBER(H163),T163," ")</f>
        <v xml:space="preserve"> </v>
      </c>
      <c r="P162" s="42" t="str">
        <f>IF(K163="","",I163*K163-N163)</f>
        <v/>
      </c>
      <c r="Q162" s="43" t="str">
        <f>IF($P163="","",K163*I163/N163-1)</f>
        <v/>
      </c>
      <c r="R162" s="42" t="e">
        <f t="shared" si="14"/>
        <v>#VALUE!</v>
      </c>
      <c r="S162" s="316" t="e">
        <f>IF($R163="","",$R163/$L163)</f>
        <v>#VALUE!</v>
      </c>
      <c r="T162" s="44" t="str">
        <f t="shared" si="19"/>
        <v/>
      </c>
      <c r="U162" s="36" t="str">
        <f>IF(Trades!E60="","",Trades!E60)</f>
        <v/>
      </c>
      <c r="V162" s="36" t="str">
        <f>IF(Trades!F60="","",Trades!F60)</f>
        <v/>
      </c>
    </row>
    <row r="163" spans="2:22" ht="17.25" customHeight="1" x14ac:dyDescent="0.2">
      <c r="B163" s="45">
        <v>30</v>
      </c>
      <c r="C163" s="37">
        <f>IF(ISERROR(VLOOKUP(B163,Trades!$B$9:$C$59,2,FALSE)),"",VLOOKUP(B163,Trades!$B$9:$C$59,2,FALSE))</f>
        <v>0</v>
      </c>
      <c r="D163" s="37" t="e">
        <f>IF(C163="","",VLOOKUP(C163,'ETF List'!$C$2:$E$90,3,FALSE))</f>
        <v>#N/A</v>
      </c>
      <c r="E163" s="37" t="str">
        <f>IF(VLOOKUP(B163,Trades!$B$9:$O$59,6,FALSE)="Buy",VLOOKUP(B163,Trades!$B$9:$O$59,8,FALSE),"")</f>
        <v/>
      </c>
      <c r="F163" s="38" t="str">
        <f>IF(VLOOKUP($B163,Trades!$B$9:$O$59,6,FALSE)="Buy",VLOOKUP($B163,Trades!$B$9:$O$59,10,FALSE),"")</f>
        <v/>
      </c>
      <c r="G163" s="39" t="str">
        <f>IF(VLOOKUP($B163,Trades!$B$9:$O$59,6,FALSE)="Buy",VLOOKUP($B163,Trades!$B$9:$O$59,9,FALSE),"")</f>
        <v/>
      </c>
      <c r="H163" s="39" t="e">
        <f>IF(C163="","",INDEX('Price Inputs'!$C$5:$J$49,MATCH(C163,'Price Inputs'!$C$5:$C$49,0),MATCH($E$2,'Price Inputs'!$C$5:$J$5,0)))</f>
        <v>#N/A</v>
      </c>
      <c r="I163" s="37">
        <f>IF(VLOOKUP($B163,Trades!$B$9:$O$59,6,FALSE)="Sell",VLOOKUP($B163,Trades!$B$9:$O$59,8,FALSE),0)</f>
        <v>0</v>
      </c>
      <c r="J163" s="38" t="str">
        <f>IF(VLOOKUP($B163,Trades!$B$9:$O$59,6,FALSE)="Sell",VLOOKUP($B163,Trades!$B$9:$O$59,12,FALSE),"")</f>
        <v/>
      </c>
      <c r="K163" s="39" t="str">
        <f>IF(VLOOKUP($B163,Trades!$B$9:$O$59,6,FALSE)="Sell",VLOOKUP($B163,Trades!$B$9:$O$59,13,FALSE),"")</f>
        <v/>
      </c>
      <c r="L163" s="40" t="str">
        <f t="shared" si="13"/>
        <v/>
      </c>
      <c r="M163" s="40" t="e">
        <f>VLOOKUP(C163,'Portfolio Bucket'!$N$3:$Q$69,4,FALSE)</f>
        <v>#N/A</v>
      </c>
      <c r="N163" s="40" t="e">
        <f>IF(C163="","",VLOOKUP(C163,'Portfolio Bucket'!$N$2:$Q$69,4,FALSE)*I163)</f>
        <v>#N/A</v>
      </c>
      <c r="P163" s="42" t="str">
        <f t="shared" si="17"/>
        <v/>
      </c>
      <c r="Q163" s="43" t="str">
        <f t="shared" si="18"/>
        <v/>
      </c>
      <c r="R163" s="42" t="e">
        <f t="shared" si="14"/>
        <v>#VALUE!</v>
      </c>
      <c r="S163" s="316" t="e">
        <f>IF($R164="","",$R164/$L164)</f>
        <v>#VALUE!</v>
      </c>
      <c r="T163" s="44" t="str">
        <f t="shared" si="19"/>
        <v/>
      </c>
      <c r="U163" s="36" t="str">
        <f>IF(Trades!E61="","",Trades!E61)</f>
        <v/>
      </c>
      <c r="V163" s="36" t="str">
        <f>IF(Trades!F61="","",Trades!F61)</f>
        <v/>
      </c>
    </row>
    <row r="164" spans="2:22" ht="17.25" customHeight="1" x14ac:dyDescent="0.2">
      <c r="B164" s="45">
        <v>31</v>
      </c>
      <c r="C164" s="37">
        <f>IF(ISERROR(VLOOKUP(B164,Trades!$B$9:$C$59,2,FALSE)),"",VLOOKUP(B164,Trades!$B$9:$C$59,2,FALSE))</f>
        <v>0</v>
      </c>
      <c r="D164" s="37" t="e">
        <f>IF(C164="","",VLOOKUP(C164,'ETF List'!$C$2:$E$90,3,FALSE))</f>
        <v>#N/A</v>
      </c>
      <c r="E164" s="37" t="str">
        <f>IF(VLOOKUP(B164,Trades!$B$9:$O$59,6,FALSE)="Buy",VLOOKUP(B164,Trades!$B$9:$O$59,8,FALSE),"")</f>
        <v/>
      </c>
      <c r="F164" s="38" t="str">
        <f>IF(VLOOKUP($B164,Trades!$B$9:$O$59,6,FALSE)="Buy",VLOOKUP($B164,Trades!$B$9:$O$59,10,FALSE),"")</f>
        <v/>
      </c>
      <c r="G164" s="39" t="str">
        <f>IF(VLOOKUP($B164,Trades!$B$9:$O$59,6,FALSE)="Buy",VLOOKUP($B164,Trades!$B$9:$O$59,9,FALSE),"")</f>
        <v/>
      </c>
      <c r="H164" s="39" t="e">
        <f>IF(C164="","",INDEX('Price Inputs'!$C$5:$J$49,MATCH(C164,'Price Inputs'!$C$5:$C$49,0),MATCH($E$2,'Price Inputs'!$C$5:$J$5,0)))</f>
        <v>#N/A</v>
      </c>
      <c r="I164" s="37">
        <f>IF(VLOOKUP($B164,Trades!$B$9:$O$59,6,FALSE)="Sell",VLOOKUP($B164,Trades!$B$9:$O$59,8,FALSE),0)</f>
        <v>0</v>
      </c>
      <c r="J164" s="38" t="str">
        <f>IF(VLOOKUP($B164,Trades!$B$9:$O$59,6,FALSE)="Sell",VLOOKUP($B164,Trades!$B$9:$O$59,12,FALSE),"")</f>
        <v/>
      </c>
      <c r="K164" s="39" t="str">
        <f>IF(VLOOKUP($B164,Trades!$B$9:$O$59,6,FALSE)="Sell",VLOOKUP($B164,Trades!$B$9:$O$59,13,FALSE),"")</f>
        <v/>
      </c>
      <c r="L164" s="40" t="str">
        <f t="shared" si="13"/>
        <v/>
      </c>
      <c r="M164" s="40" t="e">
        <f>VLOOKUP(C164,'Portfolio Bucket'!$N$3:$Q$69,4,FALSE)</f>
        <v>#N/A</v>
      </c>
      <c r="N164" s="40" t="e">
        <f>IF(C164="","",VLOOKUP(C164,'Portfolio Bucket'!$N$2:$Q$69,4,FALSE)*I164)</f>
        <v>#N/A</v>
      </c>
      <c r="O164" s="41"/>
      <c r="P164" s="42" t="str">
        <f t="shared" ref="P164:P167" si="20">IF(K164="","",I164*K164-N164)</f>
        <v/>
      </c>
      <c r="Q164" s="43" t="str">
        <f t="shared" ref="Q164:Q167" si="21">IF($P164="","",K164*I164/N164-1)</f>
        <v/>
      </c>
      <c r="R164" s="42" t="e">
        <f t="shared" si="14"/>
        <v>#VALUE!</v>
      </c>
      <c r="S164" s="316" t="e">
        <f t="shared" ref="S164:S172" si="22">IF($R165="","",$R165/$L165)</f>
        <v>#N/A</v>
      </c>
      <c r="T164" s="44" t="str">
        <f t="shared" si="19"/>
        <v/>
      </c>
      <c r="U164" s="36" t="str">
        <f>IF(Trades!E62="","",Trades!E62)</f>
        <v/>
      </c>
      <c r="V164" s="36" t="str">
        <f>IF(Trades!F62="","",Trades!F62)</f>
        <v/>
      </c>
    </row>
    <row r="165" spans="2:22" ht="17.25" customHeight="1" x14ac:dyDescent="0.2">
      <c r="B165" s="45">
        <v>32</v>
      </c>
      <c r="C165" s="37" t="str">
        <f>IF(ISERROR(VLOOKUP(B165,Trades!$B$9:$C$59,2,FALSE)),"",VLOOKUP(B165,Trades!$B$9:$C$59,2,FALSE))</f>
        <v/>
      </c>
      <c r="D165" s="37" t="str">
        <f>IF(C165="","",VLOOKUP(C165,'ETF List'!$C$2:$E$90,3,FALSE))</f>
        <v/>
      </c>
      <c r="E165" s="37" t="e">
        <f>IF(VLOOKUP(B165,Trades!$B$9:$O$59,6,FALSE)="Buy",VLOOKUP(B165,Trades!$B$9:$O$59,8,FALSE),"")</f>
        <v>#N/A</v>
      </c>
      <c r="F165" s="38" t="e">
        <f>IF(VLOOKUP($B165,Trades!$B$9:$O$59,6,FALSE)="Buy",VLOOKUP($B165,Trades!$B$9:$O$59,10,FALSE),"")</f>
        <v>#N/A</v>
      </c>
      <c r="G165" s="39" t="e">
        <f>IF(VLOOKUP($B165,Trades!$B$9:$O$59,6,FALSE)="Buy",VLOOKUP($B165,Trades!$B$9:$O$59,9,FALSE),"")</f>
        <v>#N/A</v>
      </c>
      <c r="H165" s="39" t="str">
        <f>IF(C165="","",INDEX('Price Inputs'!$C$5:$J$49,MATCH(C165,'Price Inputs'!$C$5:$C$49,0),MATCH($E$2,'Price Inputs'!$C$5:$J$5,0)))</f>
        <v/>
      </c>
      <c r="I165" s="37" t="e">
        <f>IF(VLOOKUP($B165,Trades!$B$9:$O$59,6,FALSE)="Sell",VLOOKUP($B165,Trades!$B$9:$O$59,8,FALSE),0)</f>
        <v>#N/A</v>
      </c>
      <c r="J165" s="38" t="e">
        <f>IF(VLOOKUP($B165,Trades!$B$9:$O$59,6,FALSE)="Sell",VLOOKUP($B165,Trades!$B$9:$O$59,12,FALSE),"")</f>
        <v>#N/A</v>
      </c>
      <c r="K165" s="39" t="e">
        <f>IF(VLOOKUP($B165,Trades!$B$9:$O$59,6,FALSE)="Sell",VLOOKUP($B165,Trades!$B$9:$O$59,13,FALSE),"")</f>
        <v>#N/A</v>
      </c>
      <c r="L165" s="40" t="e">
        <f t="shared" si="13"/>
        <v>#N/A</v>
      </c>
      <c r="M165" s="40" t="e">
        <f>VLOOKUP(C165,'Portfolio Bucket'!$N$3:$Q$69,4,FALSE)</f>
        <v>#N/A</v>
      </c>
      <c r="N165" s="40" t="str">
        <f>IF(C165="","",VLOOKUP(C165,'Portfolio Bucket'!$N$2:$Q$69,4,FALSE)*I165)</f>
        <v/>
      </c>
      <c r="P165" s="42" t="e">
        <f t="shared" si="20"/>
        <v>#N/A</v>
      </c>
      <c r="Q165" s="43" t="e">
        <f t="shared" si="21"/>
        <v>#N/A</v>
      </c>
      <c r="R165" s="42" t="e">
        <f t="shared" si="14"/>
        <v>#N/A</v>
      </c>
      <c r="S165" s="316" t="e">
        <f t="shared" si="22"/>
        <v>#N/A</v>
      </c>
      <c r="T165" s="44" t="e">
        <f t="shared" si="19"/>
        <v>#N/A</v>
      </c>
      <c r="U165" s="36" t="str">
        <f>IF(Trades!E63="","",Trades!E63)</f>
        <v/>
      </c>
      <c r="V165" s="36" t="str">
        <f>IF(Trades!F63="","",Trades!F63)</f>
        <v/>
      </c>
    </row>
    <row r="166" spans="2:22" ht="17.25" customHeight="1" x14ac:dyDescent="0.2">
      <c r="B166" s="45">
        <v>33</v>
      </c>
      <c r="C166" s="37" t="str">
        <f>IF(ISERROR(VLOOKUP(B166,Trades!$B$9:$C$59,2,FALSE)),"",VLOOKUP(B166,Trades!$B$9:$C$59,2,FALSE))</f>
        <v/>
      </c>
      <c r="D166" s="37" t="str">
        <f>IF(C166="","",VLOOKUP(C166,'ETF List'!$C$2:$E$90,3,FALSE))</f>
        <v/>
      </c>
      <c r="E166" s="37" t="e">
        <f>IF(VLOOKUP(B166,Trades!$B$9:$O$59,6,FALSE)="Buy",VLOOKUP(B166,Trades!$B$9:$O$59,8,FALSE),"")</f>
        <v>#N/A</v>
      </c>
      <c r="F166" s="38" t="e">
        <f>IF(VLOOKUP($B166,Trades!$B$9:$O$59,6,FALSE)="Buy",VLOOKUP($B166,Trades!$B$9:$O$59,10,FALSE),"")</f>
        <v>#N/A</v>
      </c>
      <c r="G166" s="39" t="e">
        <f>IF(VLOOKUP($B166,Trades!$B$9:$O$59,6,FALSE)="Buy",VLOOKUP($B166,Trades!$B$9:$O$59,9,FALSE),"")</f>
        <v>#N/A</v>
      </c>
      <c r="H166" s="39" t="str">
        <f>IF(C166="","",INDEX('Price Inputs'!$C$5:$J$49,MATCH(C166,'Price Inputs'!$C$5:$C$49,0),MATCH($E$2,'Price Inputs'!$C$5:$J$5,0)))</f>
        <v/>
      </c>
      <c r="I166" s="37" t="e">
        <f>IF(VLOOKUP($B166,Trades!$B$9:$O$59,6,FALSE)="Sell",VLOOKUP($B166,Trades!$B$9:$O$59,8,FALSE),0)</f>
        <v>#N/A</v>
      </c>
      <c r="J166" s="38" t="e">
        <f>IF(VLOOKUP($B166,Trades!$B$9:$O$59,6,FALSE)="Sell",VLOOKUP($B166,Trades!$B$9:$O$59,12,FALSE),"")</f>
        <v>#N/A</v>
      </c>
      <c r="K166" s="39" t="e">
        <f>IF(VLOOKUP($B166,Trades!$B$9:$O$59,6,FALSE)="Sell",VLOOKUP($B166,Trades!$B$9:$O$59,13,FALSE),"")</f>
        <v>#N/A</v>
      </c>
      <c r="L166" s="40" t="e">
        <f t="shared" si="13"/>
        <v>#N/A</v>
      </c>
      <c r="M166" s="40" t="e">
        <f>VLOOKUP(C166,'Portfolio Bucket'!$N$3:$Q$69,4,FALSE)</f>
        <v>#N/A</v>
      </c>
      <c r="N166" s="40" t="str">
        <f>IF(C166="","",VLOOKUP(C166,'Portfolio Bucket'!$N$2:$Q$69,4,FALSE)*I166)</f>
        <v/>
      </c>
      <c r="O166" s="41"/>
      <c r="P166" s="42" t="e">
        <f t="shared" si="20"/>
        <v>#N/A</v>
      </c>
      <c r="Q166" s="43" t="e">
        <f t="shared" si="21"/>
        <v>#N/A</v>
      </c>
      <c r="R166" s="42" t="e">
        <f>IF(J166="",O166-L166,0)</f>
        <v>#N/A</v>
      </c>
      <c r="S166" s="316" t="e">
        <f t="shared" si="22"/>
        <v>#N/A</v>
      </c>
      <c r="T166" s="44" t="e">
        <f t="shared" si="19"/>
        <v>#N/A</v>
      </c>
      <c r="U166" s="36" t="str">
        <f>IF(Trades!E64="","",Trades!E64)</f>
        <v/>
      </c>
      <c r="V166" s="36" t="str">
        <f>IF(Trades!F64="","",Trades!F64)</f>
        <v/>
      </c>
    </row>
    <row r="167" spans="2:22" ht="17.25" customHeight="1" x14ac:dyDescent="0.2">
      <c r="B167" s="45">
        <v>34</v>
      </c>
      <c r="C167" s="37" t="str">
        <f>IF(ISERROR(VLOOKUP(B167,Trades!$B$9:$C$59,2,FALSE)),"",VLOOKUP(B167,Trades!$B$9:$C$59,2,FALSE))</f>
        <v/>
      </c>
      <c r="D167" s="37" t="str">
        <f>IF(C167="","",VLOOKUP(C167,'ETF List'!$C$2:$E$90,3,FALSE))</f>
        <v/>
      </c>
      <c r="E167" s="37" t="e">
        <f>IF(VLOOKUP(B167,Trades!$B$9:$O$59,6,FALSE)="Buy",VLOOKUP(B167,Trades!$B$9:$O$59,8,FALSE),"")</f>
        <v>#N/A</v>
      </c>
      <c r="F167" s="38" t="e">
        <f>IF(VLOOKUP($B167,Trades!$B$9:$O$59,6,FALSE)="Buy",VLOOKUP($B167,Trades!$B$9:$O$59,10,FALSE),"")</f>
        <v>#N/A</v>
      </c>
      <c r="G167" s="39" t="e">
        <f>IF(VLOOKUP($B167,Trades!$B$9:$O$59,6,FALSE)="Buy",VLOOKUP($B167,Trades!$B$9:$O$59,9,FALSE),"")</f>
        <v>#N/A</v>
      </c>
      <c r="H167" s="39" t="str">
        <f>IF(C167="","",INDEX('Price Inputs'!$C$5:$J$49,MATCH(C167,'Price Inputs'!$C$5:$C$49,0),MATCH($E$2,'Price Inputs'!$C$5:$J$5,0)))</f>
        <v/>
      </c>
      <c r="I167" s="37" t="e">
        <f>IF(VLOOKUP($B167,Trades!$B$9:$O$59,6,FALSE)="Sell",VLOOKUP($B167,Trades!$B$9:$O$59,8,FALSE),0)</f>
        <v>#N/A</v>
      </c>
      <c r="J167" s="38" t="e">
        <f>IF(VLOOKUP($B167,Trades!$B$9:$O$59,6,FALSE)="Sell",VLOOKUP($B167,Trades!$B$9:$O$59,12,FALSE),"")</f>
        <v>#N/A</v>
      </c>
      <c r="K167" s="39" t="e">
        <f>IF(VLOOKUP($B167,Trades!$B$9:$O$59,6,FALSE)="Sell",VLOOKUP($B167,Trades!$B$9:$O$59,13,FALSE),"")</f>
        <v>#N/A</v>
      </c>
      <c r="L167" s="40" t="e">
        <f t="shared" si="13"/>
        <v>#N/A</v>
      </c>
      <c r="M167" s="40" t="e">
        <f>VLOOKUP(C167,'Portfolio Bucket'!$N$3:$Q$69,4,FALSE)</f>
        <v>#N/A</v>
      </c>
      <c r="N167" s="40" t="str">
        <f>IF(C167="","",VLOOKUP(C167,'Portfolio Bucket'!$N$2:$Q$69,4,FALSE)*I167)</f>
        <v/>
      </c>
      <c r="P167" s="42" t="e">
        <f t="shared" si="20"/>
        <v>#N/A</v>
      </c>
      <c r="Q167" s="43" t="e">
        <f t="shared" si="21"/>
        <v>#N/A</v>
      </c>
      <c r="R167" s="42" t="e">
        <f t="shared" si="14"/>
        <v>#N/A</v>
      </c>
      <c r="S167" s="316" t="e">
        <f t="shared" si="22"/>
        <v>#N/A</v>
      </c>
      <c r="T167" s="44" t="e">
        <f t="shared" si="19"/>
        <v>#N/A</v>
      </c>
      <c r="U167" s="36" t="str">
        <f>IF(Trades!E65="","",Trades!E65)</f>
        <v/>
      </c>
      <c r="V167" s="36" t="str">
        <f>IF(Trades!F65="","",Trades!F65)</f>
        <v/>
      </c>
    </row>
    <row r="168" spans="2:22" ht="17.25" customHeight="1" x14ac:dyDescent="0.2">
      <c r="B168" s="45">
        <v>35</v>
      </c>
      <c r="C168" s="37" t="str">
        <f>IF(ISERROR(VLOOKUP(B168,Trades!$B$9:$C$59,2,FALSE)),"",VLOOKUP(B168,Trades!$B$9:$C$59,2,FALSE))</f>
        <v/>
      </c>
      <c r="D168" s="37" t="str">
        <f>IF(C168="","",VLOOKUP(C168,'ETF List'!$C$2:$E$90,3,FALSE))</f>
        <v/>
      </c>
      <c r="E168" s="37" t="e">
        <f>IF(VLOOKUP(B168,Trades!$B$9:$O$59,6,FALSE)="Buy",VLOOKUP(B168,Trades!$B$9:$O$59,8,FALSE),"")</f>
        <v>#N/A</v>
      </c>
      <c r="F168" s="38" t="e">
        <f>IF(VLOOKUP($B168,Trades!$B$9:$O$59,6,FALSE)="Buy",VLOOKUP($B168,Trades!$B$9:$O$59,10,FALSE),"")</f>
        <v>#N/A</v>
      </c>
      <c r="G168" s="39" t="e">
        <f>IF(VLOOKUP($B168,Trades!$B$9:$O$59,6,FALSE)="Buy",VLOOKUP($B168,Trades!$B$9:$O$59,9,FALSE),"")</f>
        <v>#N/A</v>
      </c>
      <c r="H168" s="39" t="str">
        <f>IF(C168="","",INDEX('Price Inputs'!$C$5:$J$49,MATCH(C168,'Price Inputs'!$C$5:$C$49,0),MATCH($E$2,'Price Inputs'!$C$5:$J$5,0)))</f>
        <v/>
      </c>
      <c r="I168" s="37" t="e">
        <f>IF(VLOOKUP($B168,Trades!$B$9:$O$59,6,FALSE)="Sell",VLOOKUP($B168,Trades!$B$9:$O$59,8,FALSE),0)</f>
        <v>#N/A</v>
      </c>
      <c r="J168" s="38" t="e">
        <f>IF(VLOOKUP($B168,Trades!$B$9:$O$59,6,FALSE)="Sell",VLOOKUP($B168,Trades!$B$9:$O$59,12,FALSE),"")</f>
        <v>#N/A</v>
      </c>
      <c r="K168" s="39" t="e">
        <f>IF(VLOOKUP($B168,Trades!$B$9:$O$59,6,FALSE)="Sell",VLOOKUP($B168,Trades!$B$9:$O$59,13,FALSE),"")</f>
        <v>#N/A</v>
      </c>
      <c r="L168" s="40" t="e">
        <f t="shared" si="13"/>
        <v>#N/A</v>
      </c>
      <c r="M168" s="40" t="e">
        <f>VLOOKUP(C168,'Portfolio Bucket'!$N$3:$Q$69,4,FALSE)</f>
        <v>#N/A</v>
      </c>
      <c r="N168" s="40" t="str">
        <f>IF(C168="","",VLOOKUP(C168,'Portfolio Bucket'!$N$2:$Q$69,4,FALSE)*I168)</f>
        <v/>
      </c>
      <c r="P168" s="42" t="e">
        <f t="shared" ref="P168:P172" si="23">IF(K168="","",I168*K168-N168)</f>
        <v>#N/A</v>
      </c>
      <c r="Q168" s="43" t="e">
        <f t="shared" ref="Q168:Q172" si="24">IF($P168="","",K168*I168/N168-1)</f>
        <v>#N/A</v>
      </c>
      <c r="R168" s="42" t="e">
        <f t="shared" si="14"/>
        <v>#N/A</v>
      </c>
      <c r="S168" s="316" t="e">
        <f t="shared" si="22"/>
        <v>#N/A</v>
      </c>
      <c r="T168" s="44" t="e">
        <f t="shared" si="19"/>
        <v>#N/A</v>
      </c>
      <c r="U168" s="36" t="str">
        <f>IF(Trades!E66="","",Trades!E66)</f>
        <v/>
      </c>
      <c r="V168" s="36" t="str">
        <f>IF(Trades!F66="","",Trades!F66)</f>
        <v/>
      </c>
    </row>
    <row r="169" spans="2:22" ht="17.25" customHeight="1" x14ac:dyDescent="0.2">
      <c r="B169" s="45">
        <v>36</v>
      </c>
      <c r="C169" s="37" t="str">
        <f>IF(ISERROR(VLOOKUP(B169,Trades!$B$9:$C$59,2,FALSE)),"",VLOOKUP(B169,Trades!$B$9:$C$59,2,FALSE))</f>
        <v/>
      </c>
      <c r="D169" s="37" t="str">
        <f>IF(C169="","",VLOOKUP(C169,'ETF List'!$C$2:$E$90,3,FALSE))</f>
        <v/>
      </c>
      <c r="E169" s="37" t="e">
        <f>IF(VLOOKUP(B169,Trades!$B$9:$O$59,6,FALSE)="Buy",VLOOKUP(B169,Trades!$B$9:$O$59,8,FALSE),"")</f>
        <v>#N/A</v>
      </c>
      <c r="F169" s="38" t="e">
        <f>IF(VLOOKUP($B169,Trades!$B$9:$O$59,6,FALSE)="Buy",VLOOKUP($B169,Trades!$B$9:$O$59,10,FALSE),"")</f>
        <v>#N/A</v>
      </c>
      <c r="G169" s="39" t="e">
        <f>IF(VLOOKUP($B169,Trades!$B$9:$O$59,6,FALSE)="Buy",VLOOKUP($B169,Trades!$B$9:$O$59,9,FALSE),"")</f>
        <v>#N/A</v>
      </c>
      <c r="H169" s="39" t="str">
        <f>IF(C169="","",INDEX('Price Inputs'!$C$5:$J$49,MATCH(C169,'Price Inputs'!$C$5:$C$49,0),MATCH($E$2,'Price Inputs'!$C$5:$J$5,0)))</f>
        <v/>
      </c>
      <c r="I169" s="37" t="e">
        <f>IF(VLOOKUP($B169,Trades!$B$9:$O$59,6,FALSE)="Sell",VLOOKUP($B169,Trades!$B$9:$O$59,8,FALSE),0)</f>
        <v>#N/A</v>
      </c>
      <c r="J169" s="38" t="e">
        <f>IF(VLOOKUP($B169,Trades!$B$9:$O$59,6,FALSE)="Sell",VLOOKUP($B169,Trades!$B$9:$O$59,12,FALSE),"")</f>
        <v>#N/A</v>
      </c>
      <c r="K169" s="39" t="e">
        <f>IF(VLOOKUP($B169,Trades!$B$9:$O$59,6,FALSE)="Sell",VLOOKUP($B169,Trades!$B$9:$O$59,13,FALSE),"")</f>
        <v>#N/A</v>
      </c>
      <c r="L169" s="40" t="e">
        <f t="shared" si="13"/>
        <v>#N/A</v>
      </c>
      <c r="M169" s="40" t="e">
        <f>VLOOKUP(C169,'Portfolio Bucket'!$N$3:$Q$69,4,FALSE)</f>
        <v>#N/A</v>
      </c>
      <c r="N169" s="40" t="str">
        <f>IF(C169="","",VLOOKUP(C169,'Portfolio Bucket'!$N$2:$Q$69,4,FALSE)*I169)</f>
        <v/>
      </c>
      <c r="P169" s="42" t="e">
        <f t="shared" si="23"/>
        <v>#N/A</v>
      </c>
      <c r="Q169" s="43" t="e">
        <f t="shared" si="24"/>
        <v>#N/A</v>
      </c>
      <c r="R169" s="42" t="e">
        <f t="shared" si="14"/>
        <v>#N/A</v>
      </c>
      <c r="S169" s="316" t="e">
        <f t="shared" si="22"/>
        <v>#N/A</v>
      </c>
      <c r="T169" s="44" t="e">
        <f t="shared" si="19"/>
        <v>#N/A</v>
      </c>
      <c r="U169" s="36" t="str">
        <f>IF(Trades!E67="","",Trades!E67)</f>
        <v/>
      </c>
      <c r="V169" s="36" t="str">
        <f>IF(Trades!F67="","",Trades!F67)</f>
        <v/>
      </c>
    </row>
    <row r="170" spans="2:22" ht="17.25" customHeight="1" x14ac:dyDescent="0.2">
      <c r="B170" s="45">
        <v>37</v>
      </c>
      <c r="C170" s="37" t="str">
        <f>IF(ISERROR(VLOOKUP(B170,Trades!$B$9:$C$59,2,FALSE)),"",VLOOKUP(B170,Trades!$B$9:$C$59,2,FALSE))</f>
        <v/>
      </c>
      <c r="D170" s="37" t="str">
        <f>IF(C170="","",VLOOKUP(C170,'ETF List'!$C$2:$E$90,3,FALSE))</f>
        <v/>
      </c>
      <c r="E170" s="37" t="e">
        <f>IF(VLOOKUP(B170,Trades!$B$9:$O$59,6,FALSE)="Buy",VLOOKUP(B170,Trades!$B$9:$O$59,8,FALSE),"")</f>
        <v>#N/A</v>
      </c>
      <c r="F170" s="38" t="e">
        <f>IF(VLOOKUP($B170,Trades!$B$9:$O$59,6,FALSE)="Buy",VLOOKUP($B170,Trades!$B$9:$O$59,10,FALSE),"")</f>
        <v>#N/A</v>
      </c>
      <c r="G170" s="39" t="e">
        <f>IF(VLOOKUP($B170,Trades!$B$9:$O$59,6,FALSE)="Buy",VLOOKUP($B170,Trades!$B$9:$O$59,9,FALSE),"")</f>
        <v>#N/A</v>
      </c>
      <c r="H170" s="39" t="str">
        <f>IF(C170="","",INDEX('Price Inputs'!$C$5:$J$49,MATCH(C170,'Price Inputs'!$C$5:$C$49,0),MATCH($E$2,'Price Inputs'!$C$5:$J$5,0)))</f>
        <v/>
      </c>
      <c r="I170" s="37" t="e">
        <f>IF(VLOOKUP($B170,Trades!$B$9:$O$59,6,FALSE)="Sell",VLOOKUP($B170,Trades!$B$9:$O$59,8,FALSE),0)</f>
        <v>#N/A</v>
      </c>
      <c r="J170" s="38" t="e">
        <f>IF(VLOOKUP($B170,Trades!$B$9:$O$59,6,FALSE)="Sell",VLOOKUP($B170,Trades!$B$9:$O$59,12,FALSE),"")</f>
        <v>#N/A</v>
      </c>
      <c r="K170" s="39" t="e">
        <f>IF(VLOOKUP($B170,Trades!$B$9:$O$59,6,FALSE)="Sell",VLOOKUP($B170,Trades!$B$9:$O$59,13,FALSE),"")</f>
        <v>#N/A</v>
      </c>
      <c r="L170" s="40" t="e">
        <f t="shared" si="13"/>
        <v>#N/A</v>
      </c>
      <c r="M170" s="40" t="e">
        <f>VLOOKUP(C170,'Portfolio Bucket'!$N$3:$Q$69,4,FALSE)</f>
        <v>#N/A</v>
      </c>
      <c r="N170" s="40" t="str">
        <f>IF(C170="","",VLOOKUP(C170,'Portfolio Bucket'!$N$2:$Q$69,4,FALSE)*I170)</f>
        <v/>
      </c>
      <c r="P170" s="42" t="e">
        <f t="shared" si="23"/>
        <v>#N/A</v>
      </c>
      <c r="Q170" s="43" t="e">
        <f t="shared" si="24"/>
        <v>#N/A</v>
      </c>
      <c r="R170" s="42" t="e">
        <f t="shared" si="14"/>
        <v>#N/A</v>
      </c>
      <c r="S170" s="316" t="e">
        <f t="shared" si="22"/>
        <v>#N/A</v>
      </c>
      <c r="T170" s="44" t="e">
        <f t="shared" si="19"/>
        <v>#N/A</v>
      </c>
      <c r="U170" s="36" t="str">
        <f>IF(Trades!E68="","",Trades!E68)</f>
        <v/>
      </c>
      <c r="V170" s="36" t="str">
        <f>IF(Trades!F68="","",Trades!F68)</f>
        <v/>
      </c>
    </row>
    <row r="171" spans="2:22" ht="17.25" customHeight="1" x14ac:dyDescent="0.2">
      <c r="B171" s="45">
        <v>38</v>
      </c>
      <c r="C171" s="37" t="str">
        <f>IF(ISERROR(VLOOKUP(B171,Trades!$B$9:$C$59,2,FALSE)),"",VLOOKUP(B171,Trades!$B$9:$C$59,2,FALSE))</f>
        <v/>
      </c>
      <c r="D171" s="37" t="str">
        <f>IF(C171="","",VLOOKUP(C171,'ETF List'!$C$2:$E$90,3,FALSE))</f>
        <v/>
      </c>
      <c r="E171" s="37" t="e">
        <f>IF(VLOOKUP(B171,Trades!$B$9:$O$59,6,FALSE)="Buy",VLOOKUP(B171,Trades!$B$9:$O$59,8,FALSE),"")</f>
        <v>#N/A</v>
      </c>
      <c r="F171" s="38" t="e">
        <f>IF(VLOOKUP($B171,Trades!$B$9:$O$59,6,FALSE)="Buy",VLOOKUP($B171,Trades!$B$9:$O$59,10,FALSE),"")</f>
        <v>#N/A</v>
      </c>
      <c r="G171" s="39" t="e">
        <f>IF(VLOOKUP($B171,Trades!$B$9:$O$59,6,FALSE)="Buy",VLOOKUP($B171,Trades!$B$9:$O$59,9,FALSE),"")</f>
        <v>#N/A</v>
      </c>
      <c r="H171" s="39" t="str">
        <f>IF(C171="","",INDEX('Price Inputs'!$C$5:$J$49,MATCH(C171,'Price Inputs'!$C$5:$C$49,0),MATCH($E$2,'Price Inputs'!$C$5:$J$5,0)))</f>
        <v/>
      </c>
      <c r="I171" s="37" t="e">
        <f>IF(VLOOKUP($B171,Trades!$B$9:$O$59,6,FALSE)="Sell",VLOOKUP($B171,Trades!$B$9:$O$59,8,FALSE),0)</f>
        <v>#N/A</v>
      </c>
      <c r="J171" s="38" t="e">
        <f>IF(VLOOKUP($B171,Trades!$B$9:$O$59,6,FALSE)="Sell",VLOOKUP($B171,Trades!$B$9:$O$59,12,FALSE),"")</f>
        <v>#N/A</v>
      </c>
      <c r="K171" s="39" t="e">
        <f>IF(VLOOKUP($B171,Trades!$B$9:$O$59,6,FALSE)="Sell",VLOOKUP($B171,Trades!$B$9:$O$59,13,FALSE),"")</f>
        <v>#N/A</v>
      </c>
      <c r="L171" s="40" t="e">
        <f t="shared" si="13"/>
        <v>#N/A</v>
      </c>
      <c r="M171" s="40" t="e">
        <f>VLOOKUP(C171,'Portfolio Bucket'!$N$3:$Q$69,4,FALSE)</f>
        <v>#N/A</v>
      </c>
      <c r="N171" s="40" t="str">
        <f>IF(C171="","",VLOOKUP(C171,'Portfolio Bucket'!$N$2:$Q$69,4,FALSE)*I171)</f>
        <v/>
      </c>
      <c r="P171" s="42" t="e">
        <f t="shared" si="23"/>
        <v>#N/A</v>
      </c>
      <c r="Q171" s="43" t="e">
        <f t="shared" si="24"/>
        <v>#N/A</v>
      </c>
      <c r="R171" s="42" t="e">
        <f t="shared" si="14"/>
        <v>#N/A</v>
      </c>
      <c r="S171" s="316" t="e">
        <f t="shared" si="22"/>
        <v>#N/A</v>
      </c>
      <c r="T171" s="44" t="e">
        <f t="shared" si="19"/>
        <v>#N/A</v>
      </c>
      <c r="U171" s="36" t="str">
        <f>IF(Trades!E69="","",Trades!E69)</f>
        <v/>
      </c>
      <c r="V171" s="36" t="str">
        <f>IF(Trades!F69="","",Trades!F69)</f>
        <v/>
      </c>
    </row>
    <row r="172" spans="2:22" ht="17.25" customHeight="1" x14ac:dyDescent="0.2">
      <c r="B172" s="45">
        <v>39</v>
      </c>
      <c r="C172" s="37" t="str">
        <f>IF(ISERROR(VLOOKUP(B172,Trades!$B$9:$C$59,2,FALSE)),"",VLOOKUP(B172,Trades!$B$9:$C$59,2,FALSE))</f>
        <v/>
      </c>
      <c r="D172" s="37" t="str">
        <f>IF(C172="","",VLOOKUP(C172,'ETF List'!$C$2:$E$90,3,FALSE))</f>
        <v/>
      </c>
      <c r="E172" s="37" t="e">
        <f>IF(VLOOKUP(B172,Trades!$B$9:$O$59,6,FALSE)="Buy",VLOOKUP(B172,Trades!$B$9:$O$59,8,FALSE),"")</f>
        <v>#N/A</v>
      </c>
      <c r="F172" s="38" t="e">
        <f>IF(VLOOKUP($B172,Trades!$B$9:$O$59,6,FALSE)="Buy",VLOOKUP($B172,Trades!$B$9:$O$59,10,FALSE),"")</f>
        <v>#N/A</v>
      </c>
      <c r="G172" s="39" t="e">
        <f>IF(VLOOKUP($B172,Trades!$B$9:$O$59,6,FALSE)="Buy",VLOOKUP($B172,Trades!$B$9:$O$59,9,FALSE),"")</f>
        <v>#N/A</v>
      </c>
      <c r="H172" s="39" t="str">
        <f>IF(C172="","",INDEX('Price Inputs'!$C$5:$J$49,MATCH(C172,'Price Inputs'!$C$5:$C$49,0),MATCH($E$2,'Price Inputs'!$C$5:$J$5,0)))</f>
        <v/>
      </c>
      <c r="I172" s="37" t="e">
        <f>IF(VLOOKUP($B172,Trades!$B$9:$O$59,6,FALSE)="Sell",VLOOKUP($B172,Trades!$B$9:$O$59,8,FALSE),0)</f>
        <v>#N/A</v>
      </c>
      <c r="J172" s="38" t="e">
        <f>IF(VLOOKUP($B172,Trades!$B$9:$O$59,6,FALSE)="Sell",VLOOKUP($B172,Trades!$B$9:$O$59,12,FALSE),"")</f>
        <v>#N/A</v>
      </c>
      <c r="K172" s="39" t="e">
        <f>IF(VLOOKUP($B172,Trades!$B$9:$O$59,6,FALSE)="Sell",VLOOKUP($B172,Trades!$B$9:$O$59,13,FALSE),"")</f>
        <v>#N/A</v>
      </c>
      <c r="L172" s="40" t="e">
        <f t="shared" si="13"/>
        <v>#N/A</v>
      </c>
      <c r="M172" s="40" t="e">
        <f>VLOOKUP(C172,'Portfolio Bucket'!$N$3:$Q$69,4,FALSE)</f>
        <v>#N/A</v>
      </c>
      <c r="N172" s="40" t="str">
        <f>IF(C172="","",VLOOKUP(C172,'Portfolio Bucket'!$N$2:$Q$69,4,FALSE)*I172)</f>
        <v/>
      </c>
      <c r="P172" s="42" t="e">
        <f t="shared" si="23"/>
        <v>#N/A</v>
      </c>
      <c r="Q172" s="43" t="e">
        <f t="shared" si="24"/>
        <v>#N/A</v>
      </c>
      <c r="R172" s="42" t="e">
        <f t="shared" si="14"/>
        <v>#N/A</v>
      </c>
      <c r="S172" s="316" t="str">
        <f t="shared" si="22"/>
        <v/>
      </c>
      <c r="T172" s="44" t="e">
        <f t="shared" si="19"/>
        <v>#N/A</v>
      </c>
      <c r="U172" s="36" t="str">
        <f>IF(Trades!E70="","",Trades!E70)</f>
        <v/>
      </c>
      <c r="V172" s="36" t="str">
        <f>IF(Trades!F70="","",Trades!F70)</f>
        <v/>
      </c>
    </row>
    <row r="176" spans="2:22" ht="17.25" customHeight="1" x14ac:dyDescent="0.2">
      <c r="C176" s="46" t="s">
        <v>0</v>
      </c>
      <c r="D176" s="46" t="s">
        <v>414</v>
      </c>
      <c r="E176" s="46" t="s">
        <v>438</v>
      </c>
      <c r="F176" s="46" t="s">
        <v>423</v>
      </c>
      <c r="G176" s="46" t="s">
        <v>439</v>
      </c>
      <c r="H176" s="46" t="s">
        <v>440</v>
      </c>
      <c r="I176" s="45" t="s">
        <v>441</v>
      </c>
    </row>
    <row r="177" spans="3:9" ht="17.25" customHeight="1" x14ac:dyDescent="0.2">
      <c r="C177" s="46" t="str">
        <f t="array" ref="C177:C206">Tickers</f>
        <v>BWX</v>
      </c>
      <c r="D177" s="414">
        <f>SUMIFS($L$134:$L$172,$C$134:$C$172,$C177)</f>
        <v>300008.52</v>
      </c>
      <c r="E177" s="414">
        <f>SUMIFS('Weekly  Sum'!$Y$8:$Y$38,'Weekly  Sum'!$B$8:$B$38,$C177)</f>
        <v>299400.60000000003</v>
      </c>
      <c r="F177" s="414">
        <f>E177-D177</f>
        <v>-607.9199999999837</v>
      </c>
      <c r="G177" s="414">
        <f t="shared" ref="G177:G206" si="25">IF(ISERROR(VLOOKUP(C177,$C$48:$J$77,4,FALSE)*VLOOKUP(C177,$C$48:$J$77,6,FALSE)),0,VLOOKUP(C177,$C$48:$J$77,4,FALSE)*VLOOKUP(C177,$C$48:$J$77,6,FALSE))</f>
        <v>0</v>
      </c>
      <c r="H177" s="435">
        <f>SUM(F177:G177)</f>
        <v>-607.9199999999837</v>
      </c>
      <c r="I177" s="436">
        <f>H177/D177</f>
        <v>-2.0263424518743123E-3</v>
      </c>
    </row>
    <row r="178" spans="3:9" ht="17.25" customHeight="1" x14ac:dyDescent="0.2">
      <c r="C178" s="46" t="str">
        <v>EZU</v>
      </c>
      <c r="D178" s="414">
        <f t="shared" ref="D178:D206" si="26">SUMIFS($L$134:$L$172,$C$134:$C$172,$C178)</f>
        <v>198010.8</v>
      </c>
      <c r="E178" s="414">
        <f>SUMIFS('Weekly  Sum'!$Y$8:$Y$38,'Weekly  Sum'!$B$8:$B$38,$C178)</f>
        <v>202791.83</v>
      </c>
      <c r="F178" s="414">
        <f t="shared" ref="F178:F206" si="27">E178-D178</f>
        <v>4781.0299999999988</v>
      </c>
      <c r="G178" s="414">
        <f t="shared" si="25"/>
        <v>0</v>
      </c>
      <c r="H178" s="435">
        <f t="shared" ref="H178:H206" si="28">SUM(F178:G178)</f>
        <v>4781.0299999999988</v>
      </c>
      <c r="I178" s="436">
        <f t="shared" ref="I178:I206" si="29">H178/D178</f>
        <v>2.4145299145299139E-2</v>
      </c>
    </row>
    <row r="179" spans="3:9" ht="17.25" customHeight="1" x14ac:dyDescent="0.2">
      <c r="C179" s="46" t="str">
        <v>IAU</v>
      </c>
      <c r="D179" s="414">
        <f t="shared" si="26"/>
        <v>340006.52</v>
      </c>
      <c r="E179" s="414">
        <f>SUMIFS('Weekly  Sum'!$Y$8:$Y$38,'Weekly  Sum'!$B$8:$B$38,$C179)</f>
        <v>349042.54</v>
      </c>
      <c r="F179" s="414">
        <f t="shared" si="27"/>
        <v>9036.0199999999604</v>
      </c>
      <c r="G179" s="414">
        <f t="shared" si="25"/>
        <v>0</v>
      </c>
      <c r="H179" s="435">
        <f t="shared" si="28"/>
        <v>9036.0199999999604</v>
      </c>
      <c r="I179" s="436">
        <f t="shared" si="29"/>
        <v>2.6576019777502971E-2</v>
      </c>
    </row>
    <row r="180" spans="3:9" ht="17.25" customHeight="1" x14ac:dyDescent="0.2">
      <c r="C180" s="46" t="str">
        <v>VTI</v>
      </c>
      <c r="D180" s="414">
        <f t="shared" si="26"/>
        <v>349951.61</v>
      </c>
      <c r="E180" s="414">
        <f>SUMIFS('Weekly  Sum'!$Y$8:$Y$38,'Weekly  Sum'!$B$8:$B$38,$C180)</f>
        <v>170207.59</v>
      </c>
      <c r="F180" s="414">
        <f t="shared" si="27"/>
        <v>-179744.02</v>
      </c>
      <c r="G180" s="414">
        <f t="shared" si="25"/>
        <v>198003</v>
      </c>
      <c r="H180" s="435">
        <f t="shared" si="28"/>
        <v>18258.98000000001</v>
      </c>
      <c r="I180" s="436">
        <f t="shared" si="29"/>
        <v>5.2175727952787562E-2</v>
      </c>
    </row>
    <row r="181" spans="3:9" ht="17.25" customHeight="1" x14ac:dyDescent="0.2">
      <c r="C181" s="46" t="str">
        <v/>
      </c>
      <c r="D181" s="414" t="e">
        <f t="shared" si="26"/>
        <v>#N/A</v>
      </c>
      <c r="E181" s="414">
        <f>SUMIFS('Weekly  Sum'!$Y$8:$Y$38,'Weekly  Sum'!$B$8:$B$38,$C181)</f>
        <v>0</v>
      </c>
      <c r="F181" s="414" t="e">
        <f t="shared" si="27"/>
        <v>#N/A</v>
      </c>
      <c r="G181" s="414">
        <f t="shared" si="25"/>
        <v>0</v>
      </c>
      <c r="H181" s="435" t="e">
        <f t="shared" si="28"/>
        <v>#N/A</v>
      </c>
      <c r="I181" s="436" t="e">
        <f t="shared" si="29"/>
        <v>#N/A</v>
      </c>
    </row>
    <row r="182" spans="3:9" ht="17.25" customHeight="1" x14ac:dyDescent="0.2">
      <c r="C182" s="46" t="str">
        <v/>
      </c>
      <c r="D182" s="414" t="e">
        <f>SUMIFS($L$134:$L$172,$C$134:$C$172,$C182)</f>
        <v>#N/A</v>
      </c>
      <c r="E182" s="414">
        <f>SUMIFS('Weekly  Sum'!$Y$8:$Y$38,'Weekly  Sum'!$B$8:$B$38,$C182)</f>
        <v>0</v>
      </c>
      <c r="F182" s="414" t="e">
        <f t="shared" si="27"/>
        <v>#N/A</v>
      </c>
      <c r="G182" s="414">
        <f t="shared" si="25"/>
        <v>0</v>
      </c>
      <c r="H182" s="435" t="e">
        <f t="shared" si="28"/>
        <v>#N/A</v>
      </c>
      <c r="I182" s="436" t="e">
        <f>H182/D182</f>
        <v>#N/A</v>
      </c>
    </row>
    <row r="183" spans="3:9" ht="17.25" customHeight="1" x14ac:dyDescent="0.2">
      <c r="C183" s="46" t="str">
        <v/>
      </c>
      <c r="D183" s="414" t="e">
        <f>SUMIFS($L$134:$L$172,$C$134:$C$172,$C183)</f>
        <v>#N/A</v>
      </c>
      <c r="E183" s="414">
        <f>SUMIFS('Weekly  Sum'!$Y$8:$Y$38,'Weekly  Sum'!$B$8:$B$38,$C183)</f>
        <v>0</v>
      </c>
      <c r="F183" s="414" t="e">
        <f t="shared" si="27"/>
        <v>#N/A</v>
      </c>
      <c r="G183" s="414">
        <f t="shared" si="25"/>
        <v>0</v>
      </c>
      <c r="H183" s="435" t="e">
        <f t="shared" si="28"/>
        <v>#N/A</v>
      </c>
      <c r="I183" s="436" t="e">
        <f t="shared" si="29"/>
        <v>#N/A</v>
      </c>
    </row>
    <row r="184" spans="3:9" ht="17.25" customHeight="1" x14ac:dyDescent="0.2">
      <c r="C184" s="46" t="str">
        <v/>
      </c>
      <c r="D184" s="414" t="e">
        <f t="shared" si="26"/>
        <v>#N/A</v>
      </c>
      <c r="E184" s="414">
        <f>SUMIFS('Weekly  Sum'!$Y$8:$Y$38,'Weekly  Sum'!$B$8:$B$38,$C184)</f>
        <v>0</v>
      </c>
      <c r="F184" s="414" t="e">
        <f t="shared" si="27"/>
        <v>#N/A</v>
      </c>
      <c r="G184" s="414">
        <f t="shared" si="25"/>
        <v>0</v>
      </c>
      <c r="H184" s="435" t="e">
        <f t="shared" si="28"/>
        <v>#N/A</v>
      </c>
      <c r="I184" s="436" t="e">
        <f t="shared" si="29"/>
        <v>#N/A</v>
      </c>
    </row>
    <row r="185" spans="3:9" ht="17.25" customHeight="1" x14ac:dyDescent="0.2">
      <c r="C185" s="46" t="str">
        <v/>
      </c>
      <c r="D185" s="414" t="e">
        <f t="shared" si="26"/>
        <v>#N/A</v>
      </c>
      <c r="E185" s="414">
        <f>SUMIFS('Weekly  Sum'!$Y$8:$Y$38,'Weekly  Sum'!$B$8:$B$38,$C185)</f>
        <v>0</v>
      </c>
      <c r="F185" s="414" t="e">
        <f t="shared" si="27"/>
        <v>#N/A</v>
      </c>
      <c r="G185" s="414">
        <f t="shared" si="25"/>
        <v>0</v>
      </c>
      <c r="H185" s="435" t="e">
        <f t="shared" si="28"/>
        <v>#N/A</v>
      </c>
      <c r="I185" s="436" t="e">
        <f t="shared" si="29"/>
        <v>#N/A</v>
      </c>
    </row>
    <row r="186" spans="3:9" ht="17.25" customHeight="1" x14ac:dyDescent="0.2">
      <c r="C186" s="46" t="str">
        <v/>
      </c>
      <c r="D186" s="414" t="e">
        <f t="shared" si="26"/>
        <v>#N/A</v>
      </c>
      <c r="E186" s="414">
        <f>SUMIFS('Weekly  Sum'!$Y$8:$Y$38,'Weekly  Sum'!$B$8:$B$38,$C186)</f>
        <v>0</v>
      </c>
      <c r="F186" s="414" t="e">
        <f t="shared" si="27"/>
        <v>#N/A</v>
      </c>
      <c r="G186" s="414">
        <f t="shared" si="25"/>
        <v>0</v>
      </c>
      <c r="H186" s="435" t="e">
        <f t="shared" si="28"/>
        <v>#N/A</v>
      </c>
      <c r="I186" s="436" t="e">
        <f t="shared" si="29"/>
        <v>#N/A</v>
      </c>
    </row>
    <row r="187" spans="3:9" ht="17.25" customHeight="1" x14ac:dyDescent="0.2">
      <c r="C187" s="46" t="str">
        <v/>
      </c>
      <c r="D187" s="414" t="e">
        <f t="shared" si="26"/>
        <v>#N/A</v>
      </c>
      <c r="E187" s="414">
        <f>SUMIFS('Weekly  Sum'!$Y$8:$Y$38,'Weekly  Sum'!$B$8:$B$38,$C187)</f>
        <v>0</v>
      </c>
      <c r="F187" s="414" t="e">
        <f t="shared" si="27"/>
        <v>#N/A</v>
      </c>
      <c r="G187" s="414">
        <f t="shared" si="25"/>
        <v>0</v>
      </c>
      <c r="H187" s="435" t="e">
        <f t="shared" si="28"/>
        <v>#N/A</v>
      </c>
      <c r="I187" s="436" t="e">
        <f t="shared" si="29"/>
        <v>#N/A</v>
      </c>
    </row>
    <row r="188" spans="3:9" ht="17.25" customHeight="1" x14ac:dyDescent="0.2">
      <c r="C188" s="46" t="str">
        <v/>
      </c>
      <c r="D188" s="414" t="e">
        <f t="shared" si="26"/>
        <v>#N/A</v>
      </c>
      <c r="E188" s="414">
        <f>SUMIFS('Weekly  Sum'!$Y$8:$Y$38,'Weekly  Sum'!$B$8:$B$38,$C188)</f>
        <v>0</v>
      </c>
      <c r="F188" s="414" t="e">
        <f t="shared" si="27"/>
        <v>#N/A</v>
      </c>
      <c r="G188" s="414">
        <f t="shared" si="25"/>
        <v>0</v>
      </c>
      <c r="H188" s="435" t="e">
        <f t="shared" si="28"/>
        <v>#N/A</v>
      </c>
      <c r="I188" s="436" t="e">
        <f t="shared" si="29"/>
        <v>#N/A</v>
      </c>
    </row>
    <row r="189" spans="3:9" ht="17.25" customHeight="1" x14ac:dyDescent="0.2">
      <c r="C189" s="46" t="str">
        <v/>
      </c>
      <c r="D189" s="414" t="e">
        <f t="shared" si="26"/>
        <v>#N/A</v>
      </c>
      <c r="E189" s="414">
        <f>SUMIFS('Weekly  Sum'!$Y$8:$Y$38,'Weekly  Sum'!$B$8:$B$38,$C189)</f>
        <v>0</v>
      </c>
      <c r="F189" s="414" t="e">
        <f t="shared" si="27"/>
        <v>#N/A</v>
      </c>
      <c r="G189" s="414">
        <f t="shared" si="25"/>
        <v>0</v>
      </c>
      <c r="H189" s="435" t="e">
        <f t="shared" si="28"/>
        <v>#N/A</v>
      </c>
      <c r="I189" s="436" t="e">
        <f t="shared" si="29"/>
        <v>#N/A</v>
      </c>
    </row>
    <row r="190" spans="3:9" ht="17.25" customHeight="1" x14ac:dyDescent="0.2">
      <c r="C190" s="46" t="str">
        <v/>
      </c>
      <c r="D190" s="414" t="e">
        <f t="shared" si="26"/>
        <v>#N/A</v>
      </c>
      <c r="E190" s="414">
        <f>SUMIFS('Weekly  Sum'!$Y$8:$Y$38,'Weekly  Sum'!$B$8:$B$38,$C190)</f>
        <v>0</v>
      </c>
      <c r="F190" s="414" t="e">
        <f t="shared" si="27"/>
        <v>#N/A</v>
      </c>
      <c r="G190" s="414">
        <f t="shared" si="25"/>
        <v>0</v>
      </c>
      <c r="H190" s="435" t="e">
        <f t="shared" si="28"/>
        <v>#N/A</v>
      </c>
      <c r="I190" s="436" t="e">
        <f t="shared" si="29"/>
        <v>#N/A</v>
      </c>
    </row>
    <row r="191" spans="3:9" ht="17.25" customHeight="1" x14ac:dyDescent="0.2">
      <c r="C191" s="46" t="str">
        <v/>
      </c>
      <c r="D191" s="414" t="e">
        <f t="shared" si="26"/>
        <v>#N/A</v>
      </c>
      <c r="E191" s="414">
        <f>SUMIFS('Weekly  Sum'!$Y$8:$Y$38,'Weekly  Sum'!$B$8:$B$38,$C191)</f>
        <v>0</v>
      </c>
      <c r="F191" s="414" t="e">
        <f t="shared" si="27"/>
        <v>#N/A</v>
      </c>
      <c r="G191" s="414">
        <f t="shared" si="25"/>
        <v>0</v>
      </c>
      <c r="H191" s="435" t="e">
        <f t="shared" si="28"/>
        <v>#N/A</v>
      </c>
      <c r="I191" s="436" t="e">
        <f t="shared" si="29"/>
        <v>#N/A</v>
      </c>
    </row>
    <row r="192" spans="3:9" ht="17.25" customHeight="1" x14ac:dyDescent="0.2">
      <c r="C192" s="46" t="str">
        <v/>
      </c>
      <c r="D192" s="414" t="e">
        <f t="shared" si="26"/>
        <v>#N/A</v>
      </c>
      <c r="E192" s="414">
        <f>SUMIFS('Weekly  Sum'!$Y$8:$Y$38,'Weekly  Sum'!$B$8:$B$38,$C192)</f>
        <v>0</v>
      </c>
      <c r="F192" s="414" t="e">
        <f t="shared" si="27"/>
        <v>#N/A</v>
      </c>
      <c r="G192" s="414">
        <f t="shared" si="25"/>
        <v>0</v>
      </c>
      <c r="H192" s="435" t="e">
        <f t="shared" si="28"/>
        <v>#N/A</v>
      </c>
      <c r="I192" s="436" t="e">
        <f t="shared" si="29"/>
        <v>#N/A</v>
      </c>
    </row>
    <row r="193" spans="3:9" ht="17.25" customHeight="1" x14ac:dyDescent="0.2">
      <c r="C193" s="46" t="str">
        <v/>
      </c>
      <c r="D193" s="414" t="e">
        <f t="shared" si="26"/>
        <v>#N/A</v>
      </c>
      <c r="E193" s="414">
        <f>SUMIFS('Weekly  Sum'!$Y$8:$Y$38,'Weekly  Sum'!$B$8:$B$38,$C193)</f>
        <v>0</v>
      </c>
      <c r="F193" s="414" t="e">
        <f t="shared" si="27"/>
        <v>#N/A</v>
      </c>
      <c r="G193" s="414">
        <f t="shared" si="25"/>
        <v>0</v>
      </c>
      <c r="H193" s="435" t="e">
        <f t="shared" si="28"/>
        <v>#N/A</v>
      </c>
      <c r="I193" s="436" t="e">
        <f t="shared" si="29"/>
        <v>#N/A</v>
      </c>
    </row>
    <row r="194" spans="3:9" ht="17.25" customHeight="1" x14ac:dyDescent="0.2">
      <c r="C194" s="46" t="str">
        <v/>
      </c>
      <c r="D194" s="414" t="e">
        <f t="shared" si="26"/>
        <v>#N/A</v>
      </c>
      <c r="E194" s="414">
        <f>SUMIFS('Weekly  Sum'!$Y$8:$Y$38,'Weekly  Sum'!$B$8:$B$38,$C194)</f>
        <v>0</v>
      </c>
      <c r="F194" s="414" t="e">
        <f t="shared" si="27"/>
        <v>#N/A</v>
      </c>
      <c r="G194" s="414">
        <f t="shared" si="25"/>
        <v>0</v>
      </c>
      <c r="H194" s="435" t="e">
        <f t="shared" si="28"/>
        <v>#N/A</v>
      </c>
      <c r="I194" s="436" t="e">
        <f t="shared" si="29"/>
        <v>#N/A</v>
      </c>
    </row>
    <row r="195" spans="3:9" ht="17.25" customHeight="1" x14ac:dyDescent="0.2">
      <c r="C195" s="46" t="str">
        <v/>
      </c>
      <c r="D195" s="414" t="e">
        <f t="shared" si="26"/>
        <v>#N/A</v>
      </c>
      <c r="E195" s="414">
        <f>SUMIFS('Weekly  Sum'!$Y$8:$Y$38,'Weekly  Sum'!$B$8:$B$38,$C195)</f>
        <v>0</v>
      </c>
      <c r="F195" s="414" t="e">
        <f t="shared" si="27"/>
        <v>#N/A</v>
      </c>
      <c r="G195" s="414">
        <f t="shared" si="25"/>
        <v>0</v>
      </c>
      <c r="H195" s="435" t="e">
        <f t="shared" si="28"/>
        <v>#N/A</v>
      </c>
      <c r="I195" s="436" t="e">
        <f t="shared" si="29"/>
        <v>#N/A</v>
      </c>
    </row>
    <row r="196" spans="3:9" ht="17.25" customHeight="1" x14ac:dyDescent="0.2">
      <c r="C196" s="46" t="str">
        <v/>
      </c>
      <c r="D196" s="414" t="e">
        <f t="shared" si="26"/>
        <v>#N/A</v>
      </c>
      <c r="E196" s="414">
        <f>SUMIFS('Weekly  Sum'!$Y$8:$Y$38,'Weekly  Sum'!$B$8:$B$38,$C196)</f>
        <v>0</v>
      </c>
      <c r="F196" s="414" t="e">
        <f t="shared" si="27"/>
        <v>#N/A</v>
      </c>
      <c r="G196" s="414">
        <f t="shared" si="25"/>
        <v>0</v>
      </c>
      <c r="H196" s="435" t="e">
        <f t="shared" si="28"/>
        <v>#N/A</v>
      </c>
      <c r="I196" s="436" t="e">
        <f t="shared" si="29"/>
        <v>#N/A</v>
      </c>
    </row>
    <row r="197" spans="3:9" ht="17.25" customHeight="1" x14ac:dyDescent="0.2">
      <c r="C197" s="46" t="str">
        <v/>
      </c>
      <c r="D197" s="414" t="e">
        <f t="shared" si="26"/>
        <v>#N/A</v>
      </c>
      <c r="E197" s="414">
        <f>SUMIFS('Weekly  Sum'!$Y$8:$Y$38,'Weekly  Sum'!$B$8:$B$38,$C197)</f>
        <v>0</v>
      </c>
      <c r="F197" s="414" t="e">
        <f t="shared" si="27"/>
        <v>#N/A</v>
      </c>
      <c r="G197" s="414">
        <f t="shared" si="25"/>
        <v>0</v>
      </c>
      <c r="H197" s="435" t="e">
        <f t="shared" si="28"/>
        <v>#N/A</v>
      </c>
      <c r="I197" s="436" t="e">
        <f t="shared" si="29"/>
        <v>#N/A</v>
      </c>
    </row>
    <row r="198" spans="3:9" ht="17.25" customHeight="1" x14ac:dyDescent="0.2">
      <c r="C198" s="46" t="str">
        <v/>
      </c>
      <c r="D198" s="414" t="e">
        <f>SUMIFS($L$134:$L$172,$C$134:$C$172,$C198)</f>
        <v>#N/A</v>
      </c>
      <c r="E198" s="414">
        <f>SUMIFS('Weekly  Sum'!$Y$8:$Y$38,'Weekly  Sum'!$B$8:$B$38,$C198)</f>
        <v>0</v>
      </c>
      <c r="F198" s="414" t="e">
        <f t="shared" si="27"/>
        <v>#N/A</v>
      </c>
      <c r="G198" s="414">
        <f t="shared" si="25"/>
        <v>0</v>
      </c>
      <c r="H198" s="435" t="e">
        <f t="shared" si="28"/>
        <v>#N/A</v>
      </c>
      <c r="I198" s="436" t="e">
        <f t="shared" si="29"/>
        <v>#N/A</v>
      </c>
    </row>
    <row r="199" spans="3:9" ht="17.25" customHeight="1" x14ac:dyDescent="0.2">
      <c r="C199" s="46" t="str">
        <v/>
      </c>
      <c r="D199" s="414" t="e">
        <f t="shared" si="26"/>
        <v>#N/A</v>
      </c>
      <c r="E199" s="414">
        <f>SUMIFS('Weekly  Sum'!$Y$8:$Y$38,'Weekly  Sum'!$B$8:$B$38,$C199)</f>
        <v>0</v>
      </c>
      <c r="F199" s="414" t="e">
        <f t="shared" si="27"/>
        <v>#N/A</v>
      </c>
      <c r="G199" s="414">
        <f t="shared" si="25"/>
        <v>0</v>
      </c>
      <c r="H199" s="435" t="e">
        <f t="shared" si="28"/>
        <v>#N/A</v>
      </c>
      <c r="I199" s="436" t="e">
        <f t="shared" si="29"/>
        <v>#N/A</v>
      </c>
    </row>
    <row r="200" spans="3:9" ht="17.25" customHeight="1" x14ac:dyDescent="0.2">
      <c r="C200" s="46" t="str">
        <v/>
      </c>
      <c r="D200" s="414" t="e">
        <f t="shared" si="26"/>
        <v>#N/A</v>
      </c>
      <c r="E200" s="414">
        <f>SUMIFS('Weekly  Sum'!$Y$8:$Y$38,'Weekly  Sum'!$B$8:$B$38,$C200)</f>
        <v>0</v>
      </c>
      <c r="F200" s="414" t="e">
        <f t="shared" si="27"/>
        <v>#N/A</v>
      </c>
      <c r="G200" s="414">
        <f t="shared" si="25"/>
        <v>0</v>
      </c>
      <c r="H200" s="435" t="e">
        <f t="shared" si="28"/>
        <v>#N/A</v>
      </c>
      <c r="I200" s="436" t="e">
        <f t="shared" si="29"/>
        <v>#N/A</v>
      </c>
    </row>
    <row r="201" spans="3:9" ht="17.25" customHeight="1" x14ac:dyDescent="0.2">
      <c r="C201" s="46" t="str">
        <v/>
      </c>
      <c r="D201" s="414" t="e">
        <f t="shared" si="26"/>
        <v>#N/A</v>
      </c>
      <c r="E201" s="414">
        <f>SUMIFS('Weekly  Sum'!$Y$8:$Y$38,'Weekly  Sum'!$B$8:$B$38,$C201)</f>
        <v>0</v>
      </c>
      <c r="F201" s="414" t="e">
        <f t="shared" si="27"/>
        <v>#N/A</v>
      </c>
      <c r="G201" s="414">
        <f t="shared" si="25"/>
        <v>0</v>
      </c>
      <c r="H201" s="435" t="e">
        <f t="shared" si="28"/>
        <v>#N/A</v>
      </c>
      <c r="I201" s="436" t="e">
        <f t="shared" si="29"/>
        <v>#N/A</v>
      </c>
    </row>
    <row r="202" spans="3:9" ht="17.25" customHeight="1" x14ac:dyDescent="0.2">
      <c r="C202" s="46" t="str">
        <v/>
      </c>
      <c r="D202" s="414" t="e">
        <f t="shared" si="26"/>
        <v>#N/A</v>
      </c>
      <c r="E202" s="414">
        <f>SUMIFS('Weekly  Sum'!$Y$8:$Y$38,'Weekly  Sum'!$B$8:$B$38,$C202)</f>
        <v>0</v>
      </c>
      <c r="F202" s="414" t="e">
        <f t="shared" si="27"/>
        <v>#N/A</v>
      </c>
      <c r="G202" s="414">
        <f t="shared" si="25"/>
        <v>0</v>
      </c>
      <c r="H202" s="435" t="e">
        <f t="shared" si="28"/>
        <v>#N/A</v>
      </c>
      <c r="I202" s="436" t="e">
        <f t="shared" si="29"/>
        <v>#N/A</v>
      </c>
    </row>
    <row r="203" spans="3:9" ht="17.25" customHeight="1" x14ac:dyDescent="0.2">
      <c r="C203" s="46" t="str">
        <v/>
      </c>
      <c r="D203" s="414" t="e">
        <f t="shared" si="26"/>
        <v>#N/A</v>
      </c>
      <c r="E203" s="414">
        <f>SUMIFS('Weekly  Sum'!$Y$8:$Y$38,'Weekly  Sum'!$B$8:$B$38,$C203)</f>
        <v>0</v>
      </c>
      <c r="F203" s="414" t="e">
        <f t="shared" si="27"/>
        <v>#N/A</v>
      </c>
      <c r="G203" s="414">
        <f t="shared" si="25"/>
        <v>0</v>
      </c>
      <c r="H203" s="435" t="e">
        <f t="shared" si="28"/>
        <v>#N/A</v>
      </c>
      <c r="I203" s="436" t="e">
        <f t="shared" si="29"/>
        <v>#N/A</v>
      </c>
    </row>
    <row r="204" spans="3:9" ht="17.25" customHeight="1" x14ac:dyDescent="0.2">
      <c r="C204" s="46" t="str">
        <v/>
      </c>
      <c r="D204" s="414" t="e">
        <f t="shared" si="26"/>
        <v>#N/A</v>
      </c>
      <c r="E204" s="414">
        <f>SUMIFS('Weekly  Sum'!$Y$8:$Y$38,'Weekly  Sum'!$B$8:$B$38,$C204)</f>
        <v>0</v>
      </c>
      <c r="F204" s="414" t="e">
        <f t="shared" si="27"/>
        <v>#N/A</v>
      </c>
      <c r="G204" s="414">
        <f t="shared" si="25"/>
        <v>0</v>
      </c>
      <c r="H204" s="435" t="e">
        <f t="shared" si="28"/>
        <v>#N/A</v>
      </c>
      <c r="I204" s="436" t="e">
        <f t="shared" si="29"/>
        <v>#N/A</v>
      </c>
    </row>
    <row r="205" spans="3:9" ht="17.25" customHeight="1" x14ac:dyDescent="0.2">
      <c r="C205" s="46" t="str">
        <v/>
      </c>
      <c r="D205" s="414" t="e">
        <f t="shared" si="26"/>
        <v>#N/A</v>
      </c>
      <c r="E205" s="414">
        <f>SUMIFS('Weekly  Sum'!$Y$8:$Y$38,'Weekly  Sum'!$B$8:$B$38,$C205)</f>
        <v>0</v>
      </c>
      <c r="F205" s="414" t="e">
        <f t="shared" si="27"/>
        <v>#N/A</v>
      </c>
      <c r="G205" s="414">
        <f t="shared" si="25"/>
        <v>0</v>
      </c>
      <c r="H205" s="435" t="e">
        <f t="shared" si="28"/>
        <v>#N/A</v>
      </c>
      <c r="I205" s="436" t="e">
        <f t="shared" si="29"/>
        <v>#N/A</v>
      </c>
    </row>
    <row r="206" spans="3:9" ht="17.25" customHeight="1" x14ac:dyDescent="0.2">
      <c r="C206" s="46" t="str">
        <v/>
      </c>
      <c r="D206" s="414" t="e">
        <f t="shared" si="26"/>
        <v>#N/A</v>
      </c>
      <c r="E206" s="414">
        <f>SUMIFS('Weekly  Sum'!$Y$8:$Y$38,'Weekly  Sum'!$B$8:$B$38,$C206)</f>
        <v>0</v>
      </c>
      <c r="F206" s="414" t="e">
        <f t="shared" si="27"/>
        <v>#N/A</v>
      </c>
      <c r="G206" s="414">
        <f t="shared" si="25"/>
        <v>0</v>
      </c>
      <c r="H206" s="435" t="e">
        <f t="shared" si="28"/>
        <v>#N/A</v>
      </c>
      <c r="I206" s="436" t="e">
        <f t="shared" si="29"/>
        <v>#N/A</v>
      </c>
    </row>
    <row r="207" spans="3:9" ht="17.25" customHeight="1" x14ac:dyDescent="0.2">
      <c r="C207" s="46"/>
      <c r="D207" s="46"/>
      <c r="E207" s="46"/>
      <c r="F207" s="46"/>
      <c r="G207" s="46"/>
    </row>
    <row r="208" spans="3:9" ht="17.25" customHeight="1" x14ac:dyDescent="0.2">
      <c r="C208" s="46"/>
      <c r="D208" s="46"/>
      <c r="E208" s="46"/>
      <c r="F208" s="46"/>
      <c r="G208" s="46"/>
    </row>
    <row r="209" spans="3:7" ht="17.25" customHeight="1" x14ac:dyDescent="0.2">
      <c r="C209" s="46"/>
      <c r="D209" s="46"/>
      <c r="E209" s="46"/>
      <c r="F209" s="46"/>
      <c r="G209" s="46"/>
    </row>
    <row r="210" spans="3:7" ht="17.25" customHeight="1" x14ac:dyDescent="0.2">
      <c r="C210" s="46"/>
      <c r="D210" s="46"/>
      <c r="E210" s="46"/>
      <c r="F210" s="46"/>
      <c r="G210" s="46"/>
    </row>
    <row r="211" spans="3:7" ht="17.25" customHeight="1" x14ac:dyDescent="0.2">
      <c r="D211" s="46"/>
      <c r="E211" s="46"/>
      <c r="F211" s="46"/>
      <c r="G211" s="46"/>
    </row>
    <row r="212" spans="3:7" ht="17.25" customHeight="1" x14ac:dyDescent="0.2">
      <c r="D212" s="46"/>
      <c r="E212" s="46"/>
      <c r="F212" s="46"/>
      <c r="G212" s="46"/>
    </row>
    <row r="213" spans="3:7" ht="17.25" customHeight="1" x14ac:dyDescent="0.2">
      <c r="D213" s="46"/>
      <c r="E213" s="46"/>
      <c r="F213" s="46"/>
      <c r="G213" s="46"/>
    </row>
  </sheetData>
  <sheetProtection sheet="1" scenarios="1" formatColumns="0"/>
  <conditionalFormatting sqref="P134:S134 P135:Q141 P134:P163 Q142:Q163 S135:S163 S43:T43 T40:T42 S48:T128 I48:J77 R135:R172">
    <cfRule type="cellIs" dxfId="5" priority="8" operator="greaterThan">
      <formula>0</formula>
    </cfRule>
    <cfRule type="cellIs" dxfId="4" priority="9" operator="lessThan">
      <formula>0</formula>
    </cfRule>
  </conditionalFormatting>
  <conditionalFormatting sqref="P164:Q172 S164:S172">
    <cfRule type="cellIs" dxfId="3" priority="6" operator="greaterThan">
      <formula>0</formula>
    </cfRule>
    <cfRule type="cellIs" dxfId="2" priority="7" operator="lessThan">
      <formula>0</formula>
    </cfRule>
  </conditionalFormatting>
  <conditionalFormatting sqref="L10:M39">
    <cfRule type="cellIs" dxfId="1" priority="3" operator="greaterThan">
      <formula>0</formula>
    </cfRule>
    <cfRule type="cellIs" dxfId="0" priority="4" operator="lessThan">
      <formula>0</formula>
    </cfRule>
  </conditionalFormatting>
  <dataValidations count="1">
    <dataValidation errorStyle="warning" allowBlank="1" showInputMessage="1" showErrorMessage="1" error="This cell needs to be greater than zero!" prompt="Cash needs to be greater than $0." sqref="K9" xr:uid="{00000000-0002-0000-0700-000000000000}"/>
  </dataValidations>
  <pageMargins left="0.25" right="0.25" top="0.5" bottom="0.5" header="0.5" footer="0.5"/>
  <pageSetup scale="52" orientation="landscape" r:id="rId1"/>
  <headerFooter alignWithMargins="0"/>
  <rowBreaks count="1" manualBreakCount="1">
    <brk id="42" max="12" man="1"/>
  </rowBreaks>
  <colBreaks count="2" manualBreakCount="2">
    <brk id="14" max="1048575" man="1"/>
    <brk id="19"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1000000}">
          <x14:formula1>
            <xm:f>'Price Inputs'!$E$19:$J$19</xm:f>
          </x14:formula1>
          <xm:sqref>E2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T69"/>
  <sheetViews>
    <sheetView zoomScale="70" zoomScaleNormal="70" workbookViewId="0">
      <selection activeCell="E22" sqref="E22"/>
    </sheetView>
  </sheetViews>
  <sheetFormatPr baseColWidth="10" defaultColWidth="8.83203125" defaultRowHeight="15" x14ac:dyDescent="0.2"/>
  <cols>
    <col min="1" max="1" width="35.33203125" style="1" bestFit="1" customWidth="1"/>
    <col min="2" max="2" width="23.5" customWidth="1"/>
    <col min="3" max="3" width="23.5" style="251" customWidth="1"/>
    <col min="4" max="20" width="23.5" customWidth="1"/>
  </cols>
  <sheetData>
    <row r="1" spans="1:20" x14ac:dyDescent="0.2">
      <c r="D1" t="s">
        <v>329</v>
      </c>
      <c r="E1" t="s">
        <v>315</v>
      </c>
      <c r="F1" t="s">
        <v>316</v>
      </c>
      <c r="G1" t="s">
        <v>317</v>
      </c>
      <c r="H1" t="s">
        <v>318</v>
      </c>
      <c r="I1" t="s">
        <v>319</v>
      </c>
      <c r="N1" s="251"/>
    </row>
    <row r="2" spans="1:20" x14ac:dyDescent="0.2">
      <c r="A2" s="1" t="s">
        <v>403</v>
      </c>
      <c r="B2" t="s">
        <v>402</v>
      </c>
      <c r="C2" s="251" t="s">
        <v>0</v>
      </c>
      <c r="D2" s="6">
        <f>'Price Inputs'!E4</f>
        <v>44260</v>
      </c>
      <c r="E2" s="6">
        <f>'Price Inputs'!F4</f>
        <v>44267</v>
      </c>
      <c r="F2" s="6">
        <f>'Price Inputs'!G4</f>
        <v>44274</v>
      </c>
      <c r="G2" s="6">
        <f>'Price Inputs'!H4</f>
        <v>44281</v>
      </c>
      <c r="H2" s="6">
        <f>'Price Inputs'!I4</f>
        <v>44288</v>
      </c>
      <c r="I2" s="6">
        <f>'Price Inputs'!J4</f>
        <v>44295</v>
      </c>
      <c r="M2" t="s">
        <v>402</v>
      </c>
      <c r="N2" s="251" t="s">
        <v>0</v>
      </c>
      <c r="O2" s="6" t="s">
        <v>414</v>
      </c>
      <c r="P2" s="251" t="s">
        <v>415</v>
      </c>
      <c r="Q2" s="251" t="s">
        <v>416</v>
      </c>
      <c r="R2" s="6" t="s">
        <v>422</v>
      </c>
      <c r="S2" s="251" t="s">
        <v>421</v>
      </c>
      <c r="T2" s="251" t="s">
        <v>420</v>
      </c>
    </row>
    <row r="3" spans="1:20" x14ac:dyDescent="0.2">
      <c r="A3" s="1" t="str">
        <f>IF(B3="Yes",COUNTIF($B$3:B3,"Yes"),"")</f>
        <v/>
      </c>
      <c r="B3" t="str">
        <f>IF(SUM(D3:I3)&gt;0,"Yes","No")</f>
        <v>No</v>
      </c>
      <c r="C3" s="252" t="s">
        <v>48</v>
      </c>
      <c r="D3">
        <f>SUMIFS(Trades!$I$9:$I$59,Trades!$C$9:$C$59,$C3,Trades!$K$9:$K$59,"&lt;="&amp;D$2)-SUMIFS(Trades!$I$32:$I$59,Trades!$C$32:$C$59,$C3,Trades!$M$32:$M$59,"&lt;="&amp;D$2)</f>
        <v>0</v>
      </c>
      <c r="E3">
        <f>SUMIFS(Trades!$I$9:$I$59,Trades!$C$9:$C$59,$C3,Trades!$K$9:$K$59,"&lt;="&amp;E$2)-SUMIFS(Trades!$I$32:$I$59,Trades!$C$32:$C$59,$C3,Trades!$M$32:$M$59,"&lt;="&amp;E$2)</f>
        <v>0</v>
      </c>
      <c r="F3">
        <f>SUMIFS(Trades!$I$9:$I$59,Trades!$C$9:$C$59,$C3,Trades!$K$9:$K$59,"&lt;="&amp;F$2)-SUMIFS(Trades!$I$32:$I$59,Trades!$C$32:$C$59,$C3,Trades!$M$32:$M$59,"&lt;="&amp;F$2)</f>
        <v>0</v>
      </c>
      <c r="G3">
        <f>SUMIFS(Trades!$I$9:$I$59,Trades!$C$9:$C$59,$C3,Trades!$K$9:$K$59,"&lt;="&amp;G$2)-SUMIFS(Trades!$I$32:$I$59,Trades!$C$32:$C$59,$C3,Trades!$M$32:$M$59,"&lt;="&amp;G$2)</f>
        <v>0</v>
      </c>
      <c r="H3">
        <f>SUMIFS(Trades!$I$9:$I$59,Trades!$C$9:$C$59,$C3,Trades!$K$9:$K$59,"&lt;="&amp;H$2)-SUMIFS(Trades!$I$32:$I$59,Trades!$C$32:$C$59,$C3,Trades!$M$32:$M$59,"&lt;="&amp;H$2)</f>
        <v>0</v>
      </c>
      <c r="I3">
        <f>SUMIFS(Trades!$I$9:$I$59,Trades!$C$9:$C$59,$C3,Trades!$K$9:$K$59,"&lt;="&amp;I$2)-SUMIFS(Trades!$I$32:$I$59,Trades!$C$32:$C$59,$C3,Trades!$M$32:$M$59,"&lt;="&amp;I$2)</f>
        <v>0</v>
      </c>
      <c r="J3" s="235" t="s">
        <v>395</v>
      </c>
      <c r="M3" t="str">
        <f t="shared" ref="M3:M34" si="0">IF(SUM(O3:O3)&gt;0,"Yes","No")</f>
        <v>No</v>
      </c>
      <c r="N3" s="252" t="s">
        <v>48</v>
      </c>
      <c r="O3" s="303">
        <f>SUMIFS(Trades!$O$9:$O$59,Trades!$C$9:$C$59,$C3,Trades!$G$9:$G$59,"Buy")</f>
        <v>0</v>
      </c>
      <c r="P3" s="303">
        <f>SUMIFS(Trades!$I$9:$I$59,Trades!$C$9:$C$59,$C3,Trades!$G$9:$G$59,"Buy")</f>
        <v>0</v>
      </c>
      <c r="Q3" s="62" t="str">
        <f>IF(ISERROR(O3/P3),"",-O3/P3)</f>
        <v/>
      </c>
      <c r="R3">
        <f>SUMIFS(Trades!$O$9:$O$59,Trades!$C$9:$C$59,$C3,Trades!$G$9:$G$59,"Sell")</f>
        <v>0</v>
      </c>
      <c r="S3">
        <f>SUMIFS(Trades!$I$9:$I$59,Trades!$C$9:$C$59,$C3,Trades!$G$9:$G$59,"Sell")</f>
        <v>0</v>
      </c>
      <c r="T3" t="str">
        <f>IF(S3=0,"",R3/S3)</f>
        <v/>
      </c>
    </row>
    <row r="4" spans="1:20" x14ac:dyDescent="0.2">
      <c r="A4" s="1" t="str">
        <f>IF(B4="Yes",COUNTIF($B$3:B4,"Yes"),"")</f>
        <v/>
      </c>
      <c r="B4" t="str">
        <f t="shared" ref="B4:B67" si="1">IF(SUM(D4:I4)&gt;0,"Yes","No")</f>
        <v>No</v>
      </c>
      <c r="C4" s="252" t="s">
        <v>106</v>
      </c>
      <c r="D4">
        <f>SUMIFS(Trades!$I$9:$I$59,Trades!$C$9:$C$59,$C4,Trades!$K$9:$K$59,"&lt;="&amp;D$2)-SUMIFS(Trades!$I$32:$I$59,Trades!$C$32:$C$59,$C4,Trades!$M$32:$M$59,"&lt;="&amp;D$2)</f>
        <v>0</v>
      </c>
      <c r="E4">
        <f>SUMIFS(Trades!$I$9:$I$59,Trades!$C$9:$C$59,$C4,Trades!$K$9:$K$59,"&lt;="&amp;E$2)-SUMIFS(Trades!$I$32:$I$59,Trades!$C$32:$C$59,$C4,Trades!$M$32:$M$59,"&lt;="&amp;E$2)</f>
        <v>0</v>
      </c>
      <c r="F4">
        <f>SUMIFS(Trades!$I$9:$I$59,Trades!$C$9:$C$59,$C4,Trades!$K$9:$K$59,"&lt;="&amp;F$2)-SUMIFS(Trades!$I$32:$I$59,Trades!$C$32:$C$59,$C4,Trades!$M$32:$M$59,"&lt;="&amp;F$2)</f>
        <v>0</v>
      </c>
      <c r="G4">
        <f>SUMIFS(Trades!$I$9:$I$59,Trades!$C$9:$C$59,$C4,Trades!$K$9:$K$59,"&lt;="&amp;G$2)-SUMIFS(Trades!$I$32:$I$59,Trades!$C$32:$C$59,$C4,Trades!$M$32:$M$59,"&lt;="&amp;G$2)</f>
        <v>0</v>
      </c>
      <c r="H4">
        <f>SUMIFS(Trades!$I$9:$I$59,Trades!$C$9:$C$59,$C4,Trades!$K$9:$K$59,"&lt;="&amp;H$2)-SUMIFS(Trades!$I$32:$I$59,Trades!$C$32:$C$59,$C4,Trades!$M$32:$M$59,"&lt;="&amp;H$2)</f>
        <v>0</v>
      </c>
      <c r="I4">
        <f>SUMIFS(Trades!$I$9:$I$59,Trades!$C$9:$C$59,$C4,Trades!$K$9:$K$59,"&lt;="&amp;I$2)-SUMIFS(Trades!$I$32:$I$59,Trades!$C$32:$C$59,$C4,Trades!$M$32:$M$59,"&lt;="&amp;I$2)</f>
        <v>0</v>
      </c>
      <c r="M4" t="str">
        <f t="shared" si="0"/>
        <v>No</v>
      </c>
      <c r="N4" s="252" t="s">
        <v>106</v>
      </c>
      <c r="O4" s="303">
        <f>SUMIFS(Trades!$O$9:$O$59,Trades!$C$9:$C$59,C4,Trades!$G$9:$G$59,"Buy")</f>
        <v>0</v>
      </c>
      <c r="P4" s="303">
        <f>SUMIFS(Trades!$I$9:$I$59,Trades!$C$9:$C$59,$C4,Trades!$G$9:$G$59,"Buy")</f>
        <v>0</v>
      </c>
      <c r="Q4" s="62" t="str">
        <f t="shared" ref="Q4:Q67" si="2">IF(ISERROR(O4/P4),"",-O4/P4)</f>
        <v/>
      </c>
      <c r="R4">
        <f>SUMIFS(Trades!$O$9:$O$59,Trades!$C$9:$C$59,$C4,Trades!$G$9:$G$59,"Sell")</f>
        <v>0</v>
      </c>
      <c r="S4">
        <f>SUMIFS(Trades!$I$9:$I$59,Trades!$C$9:$C$59,$C4,Trades!$G$9:$G$59,"Sell")</f>
        <v>0</v>
      </c>
      <c r="T4" t="str">
        <f t="shared" ref="T4:T67" si="3">IF(S4=0,"",R4/S4)</f>
        <v/>
      </c>
    </row>
    <row r="5" spans="1:20" x14ac:dyDescent="0.2">
      <c r="A5" s="1" t="str">
        <f>IF(B5="Yes",COUNTIF($B$3:B5,"Yes"),"")</f>
        <v/>
      </c>
      <c r="B5" t="str">
        <f t="shared" si="1"/>
        <v>No</v>
      </c>
      <c r="C5" s="252" t="s">
        <v>98</v>
      </c>
      <c r="D5">
        <f>SUMIFS(Trades!$I$9:$I$59,Trades!$C$9:$C$59,$C5,Trades!$K$9:$K$59,"&lt;="&amp;D$2)-SUMIFS(Trades!$I$32:$I$59,Trades!$C$32:$C$59,$C5,Trades!$M$32:$M$59,"&lt;="&amp;D$2)</f>
        <v>0</v>
      </c>
      <c r="E5">
        <f>SUMIFS(Trades!$I$9:$I$59,Trades!$C$9:$C$59,$C5,Trades!$K$9:$K$59,"&lt;="&amp;E$2)-SUMIFS(Trades!$I$32:$I$59,Trades!$C$32:$C$59,$C5,Trades!$M$32:$M$59,"&lt;="&amp;E$2)</f>
        <v>0</v>
      </c>
      <c r="F5">
        <f>SUMIFS(Trades!$I$9:$I$59,Trades!$C$9:$C$59,$C5,Trades!$K$9:$K$59,"&lt;="&amp;F$2)-SUMIFS(Trades!$I$32:$I$59,Trades!$C$32:$C$59,$C5,Trades!$M$32:$M$59,"&lt;="&amp;F$2)</f>
        <v>0</v>
      </c>
      <c r="G5">
        <f>SUMIFS(Trades!$I$9:$I$59,Trades!$C$9:$C$59,$C5,Trades!$K$9:$K$59,"&lt;="&amp;G$2)-SUMIFS(Trades!$I$32:$I$59,Trades!$C$32:$C$59,$C5,Trades!$M$32:$M$59,"&lt;="&amp;G$2)</f>
        <v>0</v>
      </c>
      <c r="H5">
        <f>SUMIFS(Trades!$I$9:$I$59,Trades!$C$9:$C$59,$C5,Trades!$K$9:$K$59,"&lt;="&amp;H$2)-SUMIFS(Trades!$I$32:$I$59,Trades!$C$32:$C$59,$C5,Trades!$M$32:$M$59,"&lt;="&amp;H$2)</f>
        <v>0</v>
      </c>
      <c r="I5">
        <f>SUMIFS(Trades!$I$9:$I$59,Trades!$C$9:$C$59,$C5,Trades!$K$9:$K$59,"&lt;="&amp;I$2)-SUMIFS(Trades!$I$32:$I$59,Trades!$C$32:$C$59,$C5,Trades!$M$32:$M$59,"&lt;="&amp;I$2)</f>
        <v>0</v>
      </c>
      <c r="M5" t="str">
        <f t="shared" si="0"/>
        <v>No</v>
      </c>
      <c r="N5" s="252" t="s">
        <v>98</v>
      </c>
      <c r="O5" s="303">
        <f>SUMIFS(Trades!$O$9:$O$59,Trades!$C$9:$C$59,C5,Trades!$G$9:$G$59,"Buy")</f>
        <v>0</v>
      </c>
      <c r="P5" s="303">
        <f>SUMIFS(Trades!$I$9:$I$59,Trades!$C$9:$C$59,$C5,Trades!$G$9:$G$59,"Buy")</f>
        <v>0</v>
      </c>
      <c r="Q5" s="62" t="str">
        <f t="shared" si="2"/>
        <v/>
      </c>
      <c r="R5">
        <f>SUMIFS(Trades!$O$9:$O$59,Trades!$C$9:$C$59,$C5,Trades!$G$9:$G$59,"Sell")</f>
        <v>0</v>
      </c>
      <c r="S5">
        <f>SUMIFS(Trades!$I$9:$I$59,Trades!$C$9:$C$59,$C5,Trades!$G$9:$G$59,"Sell")</f>
        <v>0</v>
      </c>
      <c r="T5" t="str">
        <f t="shared" si="3"/>
        <v/>
      </c>
    </row>
    <row r="6" spans="1:20" x14ac:dyDescent="0.2">
      <c r="A6" s="1" t="str">
        <f>IF(B6="Yes",COUNTIF($B$3:B6,"Yes"),"")</f>
        <v/>
      </c>
      <c r="B6" t="str">
        <f t="shared" si="1"/>
        <v>No</v>
      </c>
      <c r="C6" s="252" t="s">
        <v>100</v>
      </c>
      <c r="D6">
        <f>SUMIFS(Trades!$I$9:$I$59,Trades!$C$9:$C$59,$C6,Trades!$K$9:$K$59,"&lt;="&amp;D$2)-SUMIFS(Trades!$I$32:$I$59,Trades!$C$32:$C$59,$C6,Trades!$M$32:$M$59,"&lt;="&amp;D$2)</f>
        <v>0</v>
      </c>
      <c r="E6">
        <f>SUMIFS(Trades!$I$9:$I$59,Trades!$C$9:$C$59,$C6,Trades!$K$9:$K$59,"&lt;="&amp;E$2)-SUMIFS(Trades!$I$32:$I$59,Trades!$C$32:$C$59,$C6,Trades!$M$32:$M$59,"&lt;="&amp;E$2)</f>
        <v>0</v>
      </c>
      <c r="F6">
        <f>SUMIFS(Trades!$I$9:$I$59,Trades!$C$9:$C$59,$C6,Trades!$K$9:$K$59,"&lt;="&amp;F$2)-SUMIFS(Trades!$I$32:$I$59,Trades!$C$32:$C$59,$C6,Trades!$M$32:$M$59,"&lt;="&amp;F$2)</f>
        <v>0</v>
      </c>
      <c r="G6">
        <f>SUMIFS(Trades!$I$9:$I$59,Trades!$C$9:$C$59,$C6,Trades!$K$9:$K$59,"&lt;="&amp;G$2)-SUMIFS(Trades!$I$32:$I$59,Trades!$C$32:$C$59,$C6,Trades!$M$32:$M$59,"&lt;="&amp;G$2)</f>
        <v>0</v>
      </c>
      <c r="H6">
        <f>SUMIFS(Trades!$I$9:$I$59,Trades!$C$9:$C$59,$C6,Trades!$K$9:$K$59,"&lt;="&amp;H$2)-SUMIFS(Trades!$I$32:$I$59,Trades!$C$32:$C$59,$C6,Trades!$M$32:$M$59,"&lt;="&amp;H$2)</f>
        <v>0</v>
      </c>
      <c r="I6">
        <f>SUMIFS(Trades!$I$9:$I$59,Trades!$C$9:$C$59,$C6,Trades!$K$9:$K$59,"&lt;="&amp;I$2)-SUMIFS(Trades!$I$32:$I$59,Trades!$C$32:$C$59,$C6,Trades!$M$32:$M$59,"&lt;="&amp;I$2)</f>
        <v>0</v>
      </c>
      <c r="M6" t="str">
        <f t="shared" si="0"/>
        <v>No</v>
      </c>
      <c r="N6" s="252" t="s">
        <v>100</v>
      </c>
      <c r="O6" s="303">
        <f>SUMIFS(Trades!$O$9:$O$59,Trades!$C$9:$C$59,C6,Trades!$G$9:$G$59,"Buy")</f>
        <v>0</v>
      </c>
      <c r="P6" s="303">
        <f>SUMIFS(Trades!$I$9:$I$59,Trades!$C$9:$C$59,$C6,Trades!$G$9:$G$59,"Buy")</f>
        <v>0</v>
      </c>
      <c r="Q6" s="62" t="str">
        <f t="shared" si="2"/>
        <v/>
      </c>
      <c r="R6">
        <f>SUMIFS(Trades!$O$9:$O$59,Trades!$C$9:$C$59,$C6,Trades!$G$9:$G$59,"Sell")</f>
        <v>0</v>
      </c>
      <c r="S6">
        <f>SUMIFS(Trades!$I$9:$I$59,Trades!$C$9:$C$59,$C6,Trades!$G$9:$G$59,"Sell")</f>
        <v>0</v>
      </c>
      <c r="T6" t="str">
        <f t="shared" si="3"/>
        <v/>
      </c>
    </row>
    <row r="7" spans="1:20" x14ac:dyDescent="0.2">
      <c r="A7" s="1">
        <f>IF(B7="Yes",COUNTIF($B$3:B7,"Yes"),"")</f>
        <v>1</v>
      </c>
      <c r="B7" t="str">
        <f t="shared" si="1"/>
        <v>Yes</v>
      </c>
      <c r="C7" s="252" t="s">
        <v>99</v>
      </c>
      <c r="D7">
        <f>SUMIFS(Trades!$I$9:$I$59,Trades!$C$9:$C$59,$C7,Trades!$K$9:$K$59,"&lt;="&amp;D$2)-SUMIFS(Trades!$I$32:$I$59,Trades!$C$32:$C$59,$C7,Trades!$M$32:$M$59,"&lt;="&amp;D$2)</f>
        <v>0</v>
      </c>
      <c r="E7">
        <f>SUMIFS(Trades!$I$9:$I$59,Trades!$C$9:$C$59,$C7,Trades!$K$9:$K$59,"&lt;="&amp;E$2)-SUMIFS(Trades!$I$32:$I$59,Trades!$C$32:$C$59,$C7,Trades!$M$32:$M$59,"&lt;="&amp;E$2)</f>
        <v>10132</v>
      </c>
      <c r="F7">
        <f>SUMIFS(Trades!$I$9:$I$59,Trades!$C$9:$C$59,$C7,Trades!$K$9:$K$59,"&lt;="&amp;F$2)-SUMIFS(Trades!$I$32:$I$59,Trades!$C$32:$C$59,$C7,Trades!$M$32:$M$59,"&lt;="&amp;F$2)</f>
        <v>10132</v>
      </c>
      <c r="G7">
        <f>SUMIFS(Trades!$I$9:$I$59,Trades!$C$9:$C$59,$C7,Trades!$K$9:$K$59,"&lt;="&amp;G$2)-SUMIFS(Trades!$I$32:$I$59,Trades!$C$32:$C$59,$C7,Trades!$M$32:$M$59,"&lt;="&amp;G$2)</f>
        <v>10132</v>
      </c>
      <c r="H7">
        <f>SUMIFS(Trades!$I$9:$I$59,Trades!$C$9:$C$59,$C7,Trades!$K$9:$K$59,"&lt;="&amp;H$2)-SUMIFS(Trades!$I$32:$I$59,Trades!$C$32:$C$59,$C7,Trades!$M$32:$M$59,"&lt;="&amp;H$2)</f>
        <v>10132</v>
      </c>
      <c r="I7">
        <f>SUMIFS(Trades!$I$9:$I$59,Trades!$C$9:$C$59,$C7,Trades!$K$9:$K$59,"&lt;="&amp;I$2)-SUMIFS(Trades!$I$32:$I$59,Trades!$C$32:$C$59,$C7,Trades!$M$32:$M$59,"&lt;="&amp;I$2)</f>
        <v>10132</v>
      </c>
      <c r="M7" t="str">
        <f t="shared" si="0"/>
        <v>No</v>
      </c>
      <c r="N7" s="252" t="s">
        <v>99</v>
      </c>
      <c r="O7" s="303">
        <f>SUMIFS(Trades!$O$9:$O$59,Trades!$C$9:$C$59,C7,Trades!$G$9:$G$59,"Buy")</f>
        <v>-300008.52</v>
      </c>
      <c r="P7" s="303">
        <f>SUMIFS(Trades!$I$9:$I$59,Trades!$C$9:$C$59,$C7,Trades!$G$9:$G$59,"Buy")</f>
        <v>10132</v>
      </c>
      <c r="Q7" s="62">
        <f t="shared" si="2"/>
        <v>29.610000000000003</v>
      </c>
      <c r="R7">
        <f>SUMIFS(Trades!$O$9:$O$59,Trades!$C$9:$C$59,$C7,Trades!$G$9:$G$59,"Sell")</f>
        <v>0</v>
      </c>
      <c r="S7">
        <f>SUMIFS(Trades!$I$9:$I$59,Trades!$C$9:$C$59,$C7,Trades!$G$9:$G$59,"Sell")</f>
        <v>0</v>
      </c>
      <c r="T7" t="str">
        <f t="shared" si="3"/>
        <v/>
      </c>
    </row>
    <row r="8" spans="1:20" x14ac:dyDescent="0.2">
      <c r="A8" s="1" t="str">
        <f>IF(B8="Yes",COUNTIF($B$3:B8,"Yes"),"")</f>
        <v/>
      </c>
      <c r="B8" t="str">
        <f t="shared" si="1"/>
        <v>No</v>
      </c>
      <c r="C8" s="252" t="s">
        <v>78</v>
      </c>
      <c r="D8">
        <f>SUMIFS(Trades!$I$9:$I$59,Trades!$C$9:$C$59,$C8,Trades!$K$9:$K$59,"&lt;="&amp;D$2)-SUMIFS(Trades!$I$32:$I$59,Trades!$C$32:$C$59,$C8,Trades!$M$32:$M$59,"&lt;="&amp;D$2)</f>
        <v>0</v>
      </c>
      <c r="E8">
        <f>SUMIFS(Trades!$I$9:$I$59,Trades!$C$9:$C$59,$C8,Trades!$K$9:$K$59,"&lt;="&amp;E$2)-SUMIFS(Trades!$I$32:$I$59,Trades!$C$32:$C$59,$C8,Trades!$M$32:$M$59,"&lt;="&amp;E$2)</f>
        <v>0</v>
      </c>
      <c r="F8">
        <f>SUMIFS(Trades!$I$9:$I$59,Trades!$C$9:$C$59,$C8,Trades!$K$9:$K$59,"&lt;="&amp;F$2)-SUMIFS(Trades!$I$32:$I$59,Trades!$C$32:$C$59,$C8,Trades!$M$32:$M$59,"&lt;="&amp;F$2)</f>
        <v>0</v>
      </c>
      <c r="G8">
        <f>SUMIFS(Trades!$I$9:$I$59,Trades!$C$9:$C$59,$C8,Trades!$K$9:$K$59,"&lt;="&amp;G$2)-SUMIFS(Trades!$I$32:$I$59,Trades!$C$32:$C$59,$C8,Trades!$M$32:$M$59,"&lt;="&amp;G$2)</f>
        <v>0</v>
      </c>
      <c r="H8">
        <f>SUMIFS(Trades!$I$9:$I$59,Trades!$C$9:$C$59,$C8,Trades!$K$9:$K$59,"&lt;="&amp;H$2)-SUMIFS(Trades!$I$32:$I$59,Trades!$C$32:$C$59,$C8,Trades!$M$32:$M$59,"&lt;="&amp;H$2)</f>
        <v>0</v>
      </c>
      <c r="I8">
        <f>SUMIFS(Trades!$I$9:$I$59,Trades!$C$9:$C$59,$C8,Trades!$K$9:$K$59,"&lt;="&amp;I$2)-SUMIFS(Trades!$I$32:$I$59,Trades!$C$32:$C$59,$C8,Trades!$M$32:$M$59,"&lt;="&amp;I$2)</f>
        <v>0</v>
      </c>
      <c r="M8" t="str">
        <f t="shared" si="0"/>
        <v>No</v>
      </c>
      <c r="N8" s="252" t="s">
        <v>78</v>
      </c>
      <c r="O8" s="303">
        <f>SUMIFS(Trades!$O$9:$O$59,Trades!$C$9:$C$59,C8,Trades!$G$9:$G$59,"Buy")</f>
        <v>0</v>
      </c>
      <c r="P8" s="303">
        <f>SUMIFS(Trades!$I$9:$I$59,Trades!$C$9:$C$59,$C8,Trades!$G$9:$G$59,"Buy")</f>
        <v>0</v>
      </c>
      <c r="Q8" s="62" t="str">
        <f t="shared" si="2"/>
        <v/>
      </c>
      <c r="R8">
        <f>SUMIFS(Trades!$O$9:$O$59,Trades!$C$9:$C$59,$C8,Trades!$G$9:$G$59,"Sell")</f>
        <v>0</v>
      </c>
      <c r="S8">
        <f>SUMIFS(Trades!$I$9:$I$59,Trades!$C$9:$C$59,$C8,Trades!$G$9:$G$59,"Sell")</f>
        <v>0</v>
      </c>
      <c r="T8" t="str">
        <f t="shared" si="3"/>
        <v/>
      </c>
    </row>
    <row r="9" spans="1:20" x14ac:dyDescent="0.2">
      <c r="A9" s="1" t="str">
        <f>IF(B9="Yes",COUNTIF($B$3:B9,"Yes"),"")</f>
        <v/>
      </c>
      <c r="B9" t="str">
        <f t="shared" si="1"/>
        <v>No</v>
      </c>
      <c r="C9" s="252" t="s">
        <v>51</v>
      </c>
      <c r="D9">
        <f>SUMIFS(Trades!$I$9:$I$59,Trades!$C$9:$C$59,$C9,Trades!$K$9:$K$59,"&lt;="&amp;D$2)-SUMIFS(Trades!$I$32:$I$59,Trades!$C$32:$C$59,$C9,Trades!$M$32:$M$59,"&lt;="&amp;D$2)</f>
        <v>0</v>
      </c>
      <c r="E9">
        <f>SUMIFS(Trades!$I$9:$I$59,Trades!$C$9:$C$59,$C9,Trades!$K$9:$K$59,"&lt;="&amp;E$2)-SUMIFS(Trades!$I$32:$I$59,Trades!$C$32:$C$59,$C9,Trades!$M$32:$M$59,"&lt;="&amp;E$2)</f>
        <v>0</v>
      </c>
      <c r="F9">
        <f>SUMIFS(Trades!$I$9:$I$59,Trades!$C$9:$C$59,$C9,Trades!$K$9:$K$59,"&lt;="&amp;F$2)-SUMIFS(Trades!$I$32:$I$59,Trades!$C$32:$C$59,$C9,Trades!$M$32:$M$59,"&lt;="&amp;F$2)</f>
        <v>0</v>
      </c>
      <c r="G9">
        <f>SUMIFS(Trades!$I$9:$I$59,Trades!$C$9:$C$59,$C9,Trades!$K$9:$K$59,"&lt;="&amp;G$2)-SUMIFS(Trades!$I$32:$I$59,Trades!$C$32:$C$59,$C9,Trades!$M$32:$M$59,"&lt;="&amp;G$2)</f>
        <v>0</v>
      </c>
      <c r="H9">
        <f>SUMIFS(Trades!$I$9:$I$59,Trades!$C$9:$C$59,$C9,Trades!$K$9:$K$59,"&lt;="&amp;H$2)-SUMIFS(Trades!$I$32:$I$59,Trades!$C$32:$C$59,$C9,Trades!$M$32:$M$59,"&lt;="&amp;H$2)</f>
        <v>0</v>
      </c>
      <c r="I9">
        <f>SUMIFS(Trades!$I$9:$I$59,Trades!$C$9:$C$59,$C9,Trades!$K$9:$K$59,"&lt;="&amp;I$2)-SUMIFS(Trades!$I$32:$I$59,Trades!$C$32:$C$59,$C9,Trades!$M$32:$M$59,"&lt;="&amp;I$2)</f>
        <v>0</v>
      </c>
      <c r="M9" t="str">
        <f t="shared" si="0"/>
        <v>No</v>
      </c>
      <c r="N9" s="252" t="s">
        <v>51</v>
      </c>
      <c r="O9" s="303">
        <f>SUMIFS(Trades!$O$9:$O$59,Trades!$C$9:$C$59,C9,Trades!$G$9:$G$59,"Buy")</f>
        <v>0</v>
      </c>
      <c r="P9" s="303">
        <f>SUMIFS(Trades!$I$9:$I$59,Trades!$C$9:$C$59,$C9,Trades!$G$9:$G$59,"Buy")</f>
        <v>0</v>
      </c>
      <c r="Q9" s="62" t="str">
        <f t="shared" si="2"/>
        <v/>
      </c>
      <c r="R9">
        <f>SUMIFS(Trades!$O$9:$O$59,Trades!$C$9:$C$59,$C9,Trades!$G$9:$G$59,"Sell")</f>
        <v>0</v>
      </c>
      <c r="S9">
        <f>SUMIFS(Trades!$I$9:$I$59,Trades!$C$9:$C$59,$C9,Trades!$G$9:$G$59,"Sell")</f>
        <v>0</v>
      </c>
      <c r="T9" t="str">
        <f t="shared" si="3"/>
        <v/>
      </c>
    </row>
    <row r="10" spans="1:20" x14ac:dyDescent="0.2">
      <c r="A10" s="1" t="str">
        <f>IF(B10="Yes",COUNTIF($B$3:B10,"Yes"),"")</f>
        <v/>
      </c>
      <c r="B10" t="str">
        <f>IF(SUM(D10:I10)&gt;0,"Yes","No")</f>
        <v>No</v>
      </c>
      <c r="C10" s="252" t="s">
        <v>57</v>
      </c>
      <c r="D10">
        <f>SUMIFS(Trades!$I$9:$I$59,Trades!$C$9:$C$59,$C10,Trades!$K$9:$K$59,"&lt;="&amp;D$2)-SUMIFS(Trades!$I$32:$I$59,Trades!$C$32:$C$59,$C10,Trades!$M$32:$M$59,"&lt;="&amp;D$2)</f>
        <v>0</v>
      </c>
      <c r="E10">
        <f>SUMIFS(Trades!$I$9:$I$59,Trades!$C$9:$C$59,$C10,Trades!$K$9:$K$59,"&lt;="&amp;E$2)-SUMIFS(Trades!$I$32:$I$59,Trades!$C$32:$C$59,$C10,Trades!$M$32:$M$59,"&lt;="&amp;E$2)</f>
        <v>0</v>
      </c>
      <c r="F10">
        <f>SUMIFS(Trades!$I$9:$I$59,Trades!$C$9:$C$59,$C10,Trades!$K$9:$K$59,"&lt;="&amp;F$2)-SUMIFS(Trades!$I$32:$I$59,Trades!$C$32:$C$59,$C10,Trades!$M$32:$M$59,"&lt;="&amp;F$2)</f>
        <v>0</v>
      </c>
      <c r="G10">
        <f>SUMIFS(Trades!$I$9:$I$59,Trades!$C$9:$C$59,$C10,Trades!$K$9:$K$59,"&lt;="&amp;G$2)-SUMIFS(Trades!$I$32:$I$59,Trades!$C$32:$C$59,$C10,Trades!$M$32:$M$59,"&lt;="&amp;G$2)</f>
        <v>0</v>
      </c>
      <c r="H10">
        <f>SUMIFS(Trades!$I$9:$I$59,Trades!$C$9:$C$59,$C10,Trades!$K$9:$K$59,"&lt;="&amp;H$2)-SUMIFS(Trades!$I$32:$I$59,Trades!$C$32:$C$59,$C10,Trades!$M$32:$M$59,"&lt;="&amp;H$2)</f>
        <v>0</v>
      </c>
      <c r="I10">
        <f>SUMIFS(Trades!$I$9:$I$59,Trades!$C$9:$C$59,$C10,Trades!$K$9:$K$59,"&lt;="&amp;I$2)-SUMIFS(Trades!$I$32:$I$59,Trades!$C$32:$C$59,$C10,Trades!$M$32:$M$59,"&lt;="&amp;I$2)</f>
        <v>0</v>
      </c>
      <c r="M10" t="str">
        <f t="shared" si="0"/>
        <v>No</v>
      </c>
      <c r="N10" s="252" t="s">
        <v>57</v>
      </c>
      <c r="O10" s="303">
        <f>SUMIFS(Trades!$O$9:$O$59,Trades!$C$9:$C$59,C10,Trades!$G$9:$G$59,"Buy")</f>
        <v>0</v>
      </c>
      <c r="P10" s="303">
        <f>SUMIFS(Trades!$I$9:$I$59,Trades!$C$9:$C$59,$C10,Trades!$G$9:$G$59,"Buy")</f>
        <v>0</v>
      </c>
      <c r="Q10" s="62" t="str">
        <f t="shared" si="2"/>
        <v/>
      </c>
      <c r="R10">
        <f>SUMIFS(Trades!$O$9:$O$59,Trades!$C$9:$C$59,$C10,Trades!$G$9:$G$59,"Sell")</f>
        <v>0</v>
      </c>
      <c r="S10">
        <f>SUMIFS(Trades!$I$9:$I$59,Trades!$C$9:$C$59,$C10,Trades!$G$9:$G$59,"Sell")</f>
        <v>0</v>
      </c>
      <c r="T10" t="str">
        <f t="shared" si="3"/>
        <v/>
      </c>
    </row>
    <row r="11" spans="1:20" x14ac:dyDescent="0.2">
      <c r="A11" s="1" t="str">
        <f>IF(B11="Yes",COUNTIF($B$3:B11,"Yes"),"")</f>
        <v/>
      </c>
      <c r="B11" t="str">
        <f t="shared" si="1"/>
        <v>No</v>
      </c>
      <c r="C11" s="252" t="s">
        <v>69</v>
      </c>
      <c r="D11">
        <f>SUMIFS(Trades!$I$9:$I$59,Trades!$C$9:$C$59,$C11,Trades!$K$9:$K$59,"&lt;="&amp;D$2)-SUMIFS(Trades!$I$32:$I$59,Trades!$C$32:$C$59,$C11,Trades!$M$32:$M$59,"&lt;="&amp;D$2)</f>
        <v>0</v>
      </c>
      <c r="E11">
        <f>SUMIFS(Trades!$I$9:$I$59,Trades!$C$9:$C$59,$C11,Trades!$K$9:$K$59,"&lt;="&amp;E$2)-SUMIFS(Trades!$I$32:$I$59,Trades!$C$32:$C$59,$C11,Trades!$M$32:$M$59,"&lt;="&amp;E$2)</f>
        <v>0</v>
      </c>
      <c r="F11">
        <f>SUMIFS(Trades!$I$9:$I$59,Trades!$C$9:$C$59,$C11,Trades!$K$9:$K$59,"&lt;="&amp;F$2)-SUMIFS(Trades!$I$32:$I$59,Trades!$C$32:$C$59,$C11,Trades!$M$32:$M$59,"&lt;="&amp;F$2)</f>
        <v>0</v>
      </c>
      <c r="G11">
        <f>SUMIFS(Trades!$I$9:$I$59,Trades!$C$9:$C$59,$C11,Trades!$K$9:$K$59,"&lt;="&amp;G$2)-SUMIFS(Trades!$I$32:$I$59,Trades!$C$32:$C$59,$C11,Trades!$M$32:$M$59,"&lt;="&amp;G$2)</f>
        <v>0</v>
      </c>
      <c r="H11">
        <f>SUMIFS(Trades!$I$9:$I$59,Trades!$C$9:$C$59,$C11,Trades!$K$9:$K$59,"&lt;="&amp;H$2)-SUMIFS(Trades!$I$32:$I$59,Trades!$C$32:$C$59,$C11,Trades!$M$32:$M$59,"&lt;="&amp;H$2)</f>
        <v>0</v>
      </c>
      <c r="I11">
        <f>SUMIFS(Trades!$I$9:$I$59,Trades!$C$9:$C$59,$C11,Trades!$K$9:$K$59,"&lt;="&amp;I$2)-SUMIFS(Trades!$I$32:$I$59,Trades!$C$32:$C$59,$C11,Trades!$M$32:$M$59,"&lt;="&amp;I$2)</f>
        <v>0</v>
      </c>
      <c r="M11" t="str">
        <f t="shared" si="0"/>
        <v>No</v>
      </c>
      <c r="N11" s="252" t="s">
        <v>69</v>
      </c>
      <c r="O11" s="303">
        <f>SUMIFS(Trades!$O$9:$O$59,Trades!$C$9:$C$59,C11,Trades!$G$9:$G$59,"Buy")</f>
        <v>0</v>
      </c>
      <c r="P11" s="303">
        <f>SUMIFS(Trades!$I$9:$I$59,Trades!$C$9:$C$59,$C11,Trades!$G$9:$G$59,"Buy")</f>
        <v>0</v>
      </c>
      <c r="Q11" s="62" t="str">
        <f t="shared" si="2"/>
        <v/>
      </c>
      <c r="R11">
        <f>SUMIFS(Trades!$O$9:$O$59,Trades!$C$9:$C$59,$C11,Trades!$G$9:$G$59,"Sell")</f>
        <v>0</v>
      </c>
      <c r="S11">
        <f>SUMIFS(Trades!$I$9:$I$59,Trades!$C$9:$C$59,$C11,Trades!$G$9:$G$59,"Sell")</f>
        <v>0</v>
      </c>
      <c r="T11" t="str">
        <f t="shared" si="3"/>
        <v/>
      </c>
    </row>
    <row r="12" spans="1:20" x14ac:dyDescent="0.2">
      <c r="A12" s="1" t="str">
        <f>IF(B12="Yes",COUNTIF($B$3:B12,"Yes"),"")</f>
        <v/>
      </c>
      <c r="B12" t="str">
        <f t="shared" si="1"/>
        <v>No</v>
      </c>
      <c r="C12" s="252" t="s">
        <v>105</v>
      </c>
      <c r="D12">
        <f>SUMIFS(Trades!$I$9:$I$59,Trades!$C$9:$C$59,$C12,Trades!$K$9:$K$59,"&lt;="&amp;D$2)-SUMIFS(Trades!$I$32:$I$59,Trades!$C$32:$C$59,$C12,Trades!$M$32:$M$59,"&lt;="&amp;D$2)</f>
        <v>0</v>
      </c>
      <c r="E12">
        <f>SUMIFS(Trades!$I$9:$I$59,Trades!$C$9:$C$59,$C12,Trades!$K$9:$K$59,"&lt;="&amp;E$2)-SUMIFS(Trades!$I$32:$I$59,Trades!$C$32:$C$59,$C12,Trades!$M$32:$M$59,"&lt;="&amp;E$2)</f>
        <v>0</v>
      </c>
      <c r="F12">
        <f>SUMIFS(Trades!$I$9:$I$59,Trades!$C$9:$C$59,$C12,Trades!$K$9:$K$59,"&lt;="&amp;F$2)-SUMIFS(Trades!$I$32:$I$59,Trades!$C$32:$C$59,$C12,Trades!$M$32:$M$59,"&lt;="&amp;F$2)</f>
        <v>0</v>
      </c>
      <c r="G12">
        <f>SUMIFS(Trades!$I$9:$I$59,Trades!$C$9:$C$59,$C12,Trades!$K$9:$K$59,"&lt;="&amp;G$2)-SUMIFS(Trades!$I$32:$I$59,Trades!$C$32:$C$59,$C12,Trades!$M$32:$M$59,"&lt;="&amp;G$2)</f>
        <v>0</v>
      </c>
      <c r="H12">
        <f>SUMIFS(Trades!$I$9:$I$59,Trades!$C$9:$C$59,$C12,Trades!$K$9:$K$59,"&lt;="&amp;H$2)-SUMIFS(Trades!$I$32:$I$59,Trades!$C$32:$C$59,$C12,Trades!$M$32:$M$59,"&lt;="&amp;H$2)</f>
        <v>0</v>
      </c>
      <c r="I12">
        <f>SUMIFS(Trades!$I$9:$I$59,Trades!$C$9:$C$59,$C12,Trades!$K$9:$K$59,"&lt;="&amp;I$2)-SUMIFS(Trades!$I$32:$I$59,Trades!$C$32:$C$59,$C12,Trades!$M$32:$M$59,"&lt;="&amp;I$2)</f>
        <v>0</v>
      </c>
      <c r="M12" t="str">
        <f t="shared" si="0"/>
        <v>No</v>
      </c>
      <c r="N12" s="252" t="s">
        <v>105</v>
      </c>
      <c r="O12" s="303">
        <f>SUMIFS(Trades!$O$9:$O$59,Trades!$C$9:$C$59,C12,Trades!$G$9:$G$59,"Buy")</f>
        <v>0</v>
      </c>
      <c r="P12" s="303">
        <f>SUMIFS(Trades!$I$9:$I$59,Trades!$C$9:$C$59,$C12,Trades!$G$9:$G$59,"Buy")</f>
        <v>0</v>
      </c>
      <c r="Q12" s="62" t="str">
        <f t="shared" si="2"/>
        <v/>
      </c>
      <c r="R12">
        <f>SUMIFS(Trades!$O$9:$O$59,Trades!$C$9:$C$59,$C12,Trades!$G$9:$G$59,"Sell")</f>
        <v>0</v>
      </c>
      <c r="S12">
        <f>SUMIFS(Trades!$I$9:$I$59,Trades!$C$9:$C$59,$C12,Trades!$G$9:$G$59,"Sell")</f>
        <v>0</v>
      </c>
      <c r="T12" t="str">
        <f t="shared" si="3"/>
        <v/>
      </c>
    </row>
    <row r="13" spans="1:20" x14ac:dyDescent="0.2">
      <c r="A13" s="1" t="str">
        <f>IF(B13="Yes",COUNTIF($B$3:B13,"Yes"),"")</f>
        <v/>
      </c>
      <c r="B13" t="str">
        <f t="shared" si="1"/>
        <v>No</v>
      </c>
      <c r="C13" s="252" t="s">
        <v>49</v>
      </c>
      <c r="D13">
        <f>SUMIFS(Trades!$I$9:$I$59,Trades!$C$9:$C$59,$C13,Trades!$K$9:$K$59,"&lt;="&amp;D$2)-SUMIFS(Trades!$I$32:$I$59,Trades!$C$32:$C$59,$C13,Trades!$M$32:$M$59,"&lt;="&amp;D$2)</f>
        <v>0</v>
      </c>
      <c r="E13">
        <f>SUMIFS(Trades!$I$9:$I$59,Trades!$C$9:$C$59,$C13,Trades!$K$9:$K$59,"&lt;="&amp;E$2)-SUMIFS(Trades!$I$32:$I$59,Trades!$C$32:$C$59,$C13,Trades!$M$32:$M$59,"&lt;="&amp;E$2)</f>
        <v>0</v>
      </c>
      <c r="F13">
        <f>SUMIFS(Trades!$I$9:$I$59,Trades!$C$9:$C$59,$C13,Trades!$K$9:$K$59,"&lt;="&amp;F$2)-SUMIFS(Trades!$I$32:$I$59,Trades!$C$32:$C$59,$C13,Trades!$M$32:$M$59,"&lt;="&amp;F$2)</f>
        <v>0</v>
      </c>
      <c r="G13">
        <f>SUMIFS(Trades!$I$9:$I$59,Trades!$C$9:$C$59,$C13,Trades!$K$9:$K$59,"&lt;="&amp;G$2)-SUMIFS(Trades!$I$32:$I$59,Trades!$C$32:$C$59,$C13,Trades!$M$32:$M$59,"&lt;="&amp;G$2)</f>
        <v>0</v>
      </c>
      <c r="H13">
        <f>SUMIFS(Trades!$I$9:$I$59,Trades!$C$9:$C$59,$C13,Trades!$K$9:$K$59,"&lt;="&amp;H$2)-SUMIFS(Trades!$I$32:$I$59,Trades!$C$32:$C$59,$C13,Trades!$M$32:$M$59,"&lt;="&amp;H$2)</f>
        <v>0</v>
      </c>
      <c r="I13">
        <f>SUMIFS(Trades!$I$9:$I$59,Trades!$C$9:$C$59,$C13,Trades!$K$9:$K$59,"&lt;="&amp;I$2)-SUMIFS(Trades!$I$32:$I$59,Trades!$C$32:$C$59,$C13,Trades!$M$32:$M$59,"&lt;="&amp;I$2)</f>
        <v>0</v>
      </c>
      <c r="M13" t="str">
        <f t="shared" si="0"/>
        <v>No</v>
      </c>
      <c r="N13" s="252" t="s">
        <v>49</v>
      </c>
      <c r="O13" s="303">
        <f>SUMIFS(Trades!$O$9:$O$59,Trades!$C$9:$C$59,C13,Trades!$G$9:$G$59,"Buy")</f>
        <v>0</v>
      </c>
      <c r="P13" s="303">
        <f>SUMIFS(Trades!$I$9:$I$59,Trades!$C$9:$C$59,$C13,Trades!$G$9:$G$59,"Buy")</f>
        <v>0</v>
      </c>
      <c r="Q13" s="62" t="str">
        <f t="shared" si="2"/>
        <v/>
      </c>
      <c r="R13">
        <f>SUMIFS(Trades!$O$9:$O$59,Trades!$C$9:$C$59,$C13,Trades!$G$9:$G$59,"Sell")</f>
        <v>0</v>
      </c>
      <c r="S13">
        <f>SUMIFS(Trades!$I$9:$I$59,Trades!$C$9:$C$59,$C13,Trades!$G$9:$G$59,"Sell")</f>
        <v>0</v>
      </c>
      <c r="T13" t="str">
        <f t="shared" si="3"/>
        <v/>
      </c>
    </row>
    <row r="14" spans="1:20" x14ac:dyDescent="0.2">
      <c r="A14" s="1" t="str">
        <f>IF(B14="Yes",COUNTIF($B$3:B14,"Yes"),"")</f>
        <v/>
      </c>
      <c r="B14" t="str">
        <f t="shared" si="1"/>
        <v>No</v>
      </c>
      <c r="C14" s="252" t="s">
        <v>53</v>
      </c>
      <c r="D14">
        <f>SUMIFS(Trades!$I$9:$I$59,Trades!$C$9:$C$59,$C14,Trades!$K$9:$K$59,"&lt;="&amp;D$2)-SUMIFS(Trades!$I$32:$I$59,Trades!$C$32:$C$59,$C14,Trades!$M$32:$M$59,"&lt;="&amp;D$2)</f>
        <v>0</v>
      </c>
      <c r="E14">
        <f>SUMIFS(Trades!$I$9:$I$59,Trades!$C$9:$C$59,$C14,Trades!$K$9:$K$59,"&lt;="&amp;E$2)-SUMIFS(Trades!$I$32:$I$59,Trades!$C$32:$C$59,$C14,Trades!$M$32:$M$59,"&lt;="&amp;E$2)</f>
        <v>0</v>
      </c>
      <c r="F14">
        <f>SUMIFS(Trades!$I$9:$I$59,Trades!$C$9:$C$59,$C14,Trades!$K$9:$K$59,"&lt;="&amp;F$2)-SUMIFS(Trades!$I$32:$I$59,Trades!$C$32:$C$59,$C14,Trades!$M$32:$M$59,"&lt;="&amp;F$2)</f>
        <v>0</v>
      </c>
      <c r="G14">
        <f>SUMIFS(Trades!$I$9:$I$59,Trades!$C$9:$C$59,$C14,Trades!$K$9:$K$59,"&lt;="&amp;G$2)-SUMIFS(Trades!$I$32:$I$59,Trades!$C$32:$C$59,$C14,Trades!$M$32:$M$59,"&lt;="&amp;G$2)</f>
        <v>0</v>
      </c>
      <c r="H14">
        <f>SUMIFS(Trades!$I$9:$I$59,Trades!$C$9:$C$59,$C14,Trades!$K$9:$K$59,"&lt;="&amp;H$2)-SUMIFS(Trades!$I$32:$I$59,Trades!$C$32:$C$59,$C14,Trades!$M$32:$M$59,"&lt;="&amp;H$2)</f>
        <v>0</v>
      </c>
      <c r="I14">
        <f>SUMIFS(Trades!$I$9:$I$59,Trades!$C$9:$C$59,$C14,Trades!$K$9:$K$59,"&lt;="&amp;I$2)-SUMIFS(Trades!$I$32:$I$59,Trades!$C$32:$C$59,$C14,Trades!$M$32:$M$59,"&lt;="&amp;I$2)</f>
        <v>0</v>
      </c>
      <c r="M14" t="str">
        <f t="shared" si="0"/>
        <v>No</v>
      </c>
      <c r="N14" s="252" t="s">
        <v>53</v>
      </c>
      <c r="O14" s="303">
        <f>SUMIFS(Trades!$O$9:$O$59,Trades!$C$9:$C$59,C14,Trades!$G$9:$G$59,"Buy")</f>
        <v>0</v>
      </c>
      <c r="P14" s="303">
        <f>SUMIFS(Trades!$I$9:$I$59,Trades!$C$9:$C$59,$C14,Trades!$G$9:$G$59,"Buy")</f>
        <v>0</v>
      </c>
      <c r="Q14" s="62" t="str">
        <f t="shared" si="2"/>
        <v/>
      </c>
      <c r="R14">
        <f>SUMIFS(Trades!$O$9:$O$59,Trades!$C$9:$C$59,$C14,Trades!$G$9:$G$59,"Sell")</f>
        <v>0</v>
      </c>
      <c r="S14">
        <f>SUMIFS(Trades!$I$9:$I$59,Trades!$C$9:$C$59,$C14,Trades!$G$9:$G$59,"Sell")</f>
        <v>0</v>
      </c>
      <c r="T14" t="str">
        <f t="shared" si="3"/>
        <v/>
      </c>
    </row>
    <row r="15" spans="1:20" x14ac:dyDescent="0.2">
      <c r="A15" s="1" t="str">
        <f>IF(B15="Yes",COUNTIF($B$3:B15,"Yes"),"")</f>
        <v/>
      </c>
      <c r="B15" t="str">
        <f t="shared" si="1"/>
        <v>No</v>
      </c>
      <c r="C15" s="252" t="s">
        <v>62</v>
      </c>
      <c r="D15">
        <f>SUMIFS(Trades!$I$9:$I$59,Trades!$C$9:$C$59,$C15,Trades!$K$9:$K$59,"&lt;="&amp;D$2)-SUMIFS(Trades!$I$32:$I$59,Trades!$C$32:$C$59,$C15,Trades!$M$32:$M$59,"&lt;="&amp;D$2)</f>
        <v>0</v>
      </c>
      <c r="E15">
        <f>SUMIFS(Trades!$I$9:$I$59,Trades!$C$9:$C$59,$C15,Trades!$K$9:$K$59,"&lt;="&amp;E$2)-SUMIFS(Trades!$I$32:$I$59,Trades!$C$32:$C$59,$C15,Trades!$M$32:$M$59,"&lt;="&amp;E$2)</f>
        <v>0</v>
      </c>
      <c r="F15">
        <f>SUMIFS(Trades!$I$9:$I$59,Trades!$C$9:$C$59,$C15,Trades!$K$9:$K$59,"&lt;="&amp;F$2)-SUMIFS(Trades!$I$32:$I$59,Trades!$C$32:$C$59,$C15,Trades!$M$32:$M$59,"&lt;="&amp;F$2)</f>
        <v>0</v>
      </c>
      <c r="G15">
        <f>SUMIFS(Trades!$I$9:$I$59,Trades!$C$9:$C$59,$C15,Trades!$K$9:$K$59,"&lt;="&amp;G$2)-SUMIFS(Trades!$I$32:$I$59,Trades!$C$32:$C$59,$C15,Trades!$M$32:$M$59,"&lt;="&amp;G$2)</f>
        <v>0</v>
      </c>
      <c r="H15">
        <f>SUMIFS(Trades!$I$9:$I$59,Trades!$C$9:$C$59,$C15,Trades!$K$9:$K$59,"&lt;="&amp;H$2)-SUMIFS(Trades!$I$32:$I$59,Trades!$C$32:$C$59,$C15,Trades!$M$32:$M$59,"&lt;="&amp;H$2)</f>
        <v>0</v>
      </c>
      <c r="I15">
        <f>SUMIFS(Trades!$I$9:$I$59,Trades!$C$9:$C$59,$C15,Trades!$K$9:$K$59,"&lt;="&amp;I$2)-SUMIFS(Trades!$I$32:$I$59,Trades!$C$32:$C$59,$C15,Trades!$M$32:$M$59,"&lt;="&amp;I$2)</f>
        <v>0</v>
      </c>
      <c r="M15" t="str">
        <f t="shared" si="0"/>
        <v>No</v>
      </c>
      <c r="N15" s="252" t="s">
        <v>62</v>
      </c>
      <c r="O15" s="303">
        <f>SUMIFS(Trades!$O$9:$O$59,Trades!$C$9:$C$59,C15,Trades!$G$9:$G$59,"Buy")</f>
        <v>0</v>
      </c>
      <c r="P15" s="303">
        <f>SUMIFS(Trades!$I$9:$I$59,Trades!$C$9:$C$59,$C15,Trades!$G$9:$G$59,"Buy")</f>
        <v>0</v>
      </c>
      <c r="Q15" s="62" t="str">
        <f t="shared" si="2"/>
        <v/>
      </c>
      <c r="R15">
        <f>SUMIFS(Trades!$O$9:$O$59,Trades!$C$9:$C$59,$C15,Trades!$G$9:$G$59,"Sell")</f>
        <v>0</v>
      </c>
      <c r="S15">
        <f>SUMIFS(Trades!$I$9:$I$59,Trades!$C$9:$C$59,$C15,Trades!$G$9:$G$59,"Sell")</f>
        <v>0</v>
      </c>
      <c r="T15" t="str">
        <f t="shared" si="3"/>
        <v/>
      </c>
    </row>
    <row r="16" spans="1:20" x14ac:dyDescent="0.2">
      <c r="A16" s="1" t="str">
        <f>IF(B16="Yes",COUNTIF($B$3:B16,"Yes"),"")</f>
        <v/>
      </c>
      <c r="B16" t="str">
        <f t="shared" si="1"/>
        <v>No</v>
      </c>
      <c r="C16" s="252" t="s">
        <v>64</v>
      </c>
      <c r="D16">
        <f>SUMIFS(Trades!$I$9:$I$59,Trades!$C$9:$C$59,$C16,Trades!$K$9:$K$59,"&lt;="&amp;D$2)-SUMIFS(Trades!$I$32:$I$59,Trades!$C$32:$C$59,$C16,Trades!$M$32:$M$59,"&lt;="&amp;D$2)</f>
        <v>0</v>
      </c>
      <c r="E16">
        <f>SUMIFS(Trades!$I$9:$I$59,Trades!$C$9:$C$59,$C16,Trades!$K$9:$K$59,"&lt;="&amp;E$2)-SUMIFS(Trades!$I$32:$I$59,Trades!$C$32:$C$59,$C16,Trades!$M$32:$M$59,"&lt;="&amp;E$2)</f>
        <v>0</v>
      </c>
      <c r="F16">
        <f>SUMIFS(Trades!$I$9:$I$59,Trades!$C$9:$C$59,$C16,Trades!$K$9:$K$59,"&lt;="&amp;F$2)-SUMIFS(Trades!$I$32:$I$59,Trades!$C$32:$C$59,$C16,Trades!$M$32:$M$59,"&lt;="&amp;F$2)</f>
        <v>0</v>
      </c>
      <c r="G16">
        <f>SUMIFS(Trades!$I$9:$I$59,Trades!$C$9:$C$59,$C16,Trades!$K$9:$K$59,"&lt;="&amp;G$2)-SUMIFS(Trades!$I$32:$I$59,Trades!$C$32:$C$59,$C16,Trades!$M$32:$M$59,"&lt;="&amp;G$2)</f>
        <v>0</v>
      </c>
      <c r="H16">
        <f>SUMIFS(Trades!$I$9:$I$59,Trades!$C$9:$C$59,$C16,Trades!$K$9:$K$59,"&lt;="&amp;H$2)-SUMIFS(Trades!$I$32:$I$59,Trades!$C$32:$C$59,$C16,Trades!$M$32:$M$59,"&lt;="&amp;H$2)</f>
        <v>0</v>
      </c>
      <c r="I16">
        <f>SUMIFS(Trades!$I$9:$I$59,Trades!$C$9:$C$59,$C16,Trades!$K$9:$K$59,"&lt;="&amp;I$2)-SUMIFS(Trades!$I$32:$I$59,Trades!$C$32:$C$59,$C16,Trades!$M$32:$M$59,"&lt;="&amp;I$2)</f>
        <v>0</v>
      </c>
      <c r="M16" t="str">
        <f t="shared" si="0"/>
        <v>No</v>
      </c>
      <c r="N16" s="252" t="s">
        <v>64</v>
      </c>
      <c r="O16" s="303">
        <f>SUMIFS(Trades!$O$9:$O$59,Trades!$C$9:$C$59,C16,Trades!$G$9:$G$59,"Buy")</f>
        <v>0</v>
      </c>
      <c r="P16" s="303">
        <f>SUMIFS(Trades!$I$9:$I$59,Trades!$C$9:$C$59,$C16,Trades!$G$9:$G$59,"Buy")</f>
        <v>0</v>
      </c>
      <c r="Q16" s="62" t="str">
        <f t="shared" si="2"/>
        <v/>
      </c>
      <c r="R16">
        <f>SUMIFS(Trades!$O$9:$O$59,Trades!$C$9:$C$59,$C16,Trades!$G$9:$G$59,"Sell")</f>
        <v>0</v>
      </c>
      <c r="S16">
        <f>SUMIFS(Trades!$I$9:$I$59,Trades!$C$9:$C$59,$C16,Trades!$G$9:$G$59,"Sell")</f>
        <v>0</v>
      </c>
      <c r="T16" t="str">
        <f t="shared" si="3"/>
        <v/>
      </c>
    </row>
    <row r="17" spans="1:20" x14ac:dyDescent="0.2">
      <c r="A17" s="1" t="str">
        <f>IF(B17="Yes",COUNTIF($B$3:B17,"Yes"),"")</f>
        <v/>
      </c>
      <c r="B17" t="str">
        <f t="shared" si="1"/>
        <v>No</v>
      </c>
      <c r="C17" s="252" t="s">
        <v>70</v>
      </c>
      <c r="D17">
        <f>SUMIFS(Trades!$I$9:$I$59,Trades!$C$9:$C$59,$C17,Trades!$K$9:$K$59,"&lt;="&amp;D$2)-SUMIFS(Trades!$I$32:$I$59,Trades!$C$32:$C$59,$C17,Trades!$M$32:$M$59,"&lt;="&amp;D$2)</f>
        <v>0</v>
      </c>
      <c r="E17">
        <f>SUMIFS(Trades!$I$9:$I$59,Trades!$C$9:$C$59,$C17,Trades!$K$9:$K$59,"&lt;="&amp;E$2)-SUMIFS(Trades!$I$32:$I$59,Trades!$C$32:$C$59,$C17,Trades!$M$32:$M$59,"&lt;="&amp;E$2)</f>
        <v>0</v>
      </c>
      <c r="F17">
        <f>SUMIFS(Trades!$I$9:$I$59,Trades!$C$9:$C$59,$C17,Trades!$K$9:$K$59,"&lt;="&amp;F$2)-SUMIFS(Trades!$I$32:$I$59,Trades!$C$32:$C$59,$C17,Trades!$M$32:$M$59,"&lt;="&amp;F$2)</f>
        <v>0</v>
      </c>
      <c r="G17">
        <f>SUMIFS(Trades!$I$9:$I$59,Trades!$C$9:$C$59,$C17,Trades!$K$9:$K$59,"&lt;="&amp;G$2)-SUMIFS(Trades!$I$32:$I$59,Trades!$C$32:$C$59,$C17,Trades!$M$32:$M$59,"&lt;="&amp;G$2)</f>
        <v>0</v>
      </c>
      <c r="H17">
        <f>SUMIFS(Trades!$I$9:$I$59,Trades!$C$9:$C$59,$C17,Trades!$K$9:$K$59,"&lt;="&amp;H$2)-SUMIFS(Trades!$I$32:$I$59,Trades!$C$32:$C$59,$C17,Trades!$M$32:$M$59,"&lt;="&amp;H$2)</f>
        <v>0</v>
      </c>
      <c r="I17">
        <f>SUMIFS(Trades!$I$9:$I$59,Trades!$C$9:$C$59,$C17,Trades!$K$9:$K$59,"&lt;="&amp;I$2)-SUMIFS(Trades!$I$32:$I$59,Trades!$C$32:$C$59,$C17,Trades!$M$32:$M$59,"&lt;="&amp;I$2)</f>
        <v>0</v>
      </c>
      <c r="M17" t="str">
        <f t="shared" si="0"/>
        <v>No</v>
      </c>
      <c r="N17" s="252" t="s">
        <v>70</v>
      </c>
      <c r="O17" s="303">
        <f>SUMIFS(Trades!$O$9:$O$59,Trades!$C$9:$C$59,C17,Trades!$G$9:$G$59,"Buy")</f>
        <v>0</v>
      </c>
      <c r="P17" s="303">
        <f>SUMIFS(Trades!$I$9:$I$59,Trades!$C$9:$C$59,$C17,Trades!$G$9:$G$59,"Buy")</f>
        <v>0</v>
      </c>
      <c r="Q17" s="62" t="str">
        <f t="shared" si="2"/>
        <v/>
      </c>
      <c r="R17">
        <f>SUMIFS(Trades!$O$9:$O$59,Trades!$C$9:$C$59,$C17,Trades!$G$9:$G$59,"Sell")</f>
        <v>0</v>
      </c>
      <c r="S17">
        <f>SUMIFS(Trades!$I$9:$I$59,Trades!$C$9:$C$59,$C17,Trades!$G$9:$G$59,"Sell")</f>
        <v>0</v>
      </c>
      <c r="T17" t="str">
        <f t="shared" si="3"/>
        <v/>
      </c>
    </row>
    <row r="18" spans="1:20" x14ac:dyDescent="0.2">
      <c r="A18" s="1" t="str">
        <f>IF(B18="Yes",COUNTIF($B$3:B18,"Yes"),"")</f>
        <v/>
      </c>
      <c r="B18" t="str">
        <f t="shared" si="1"/>
        <v>No</v>
      </c>
      <c r="C18" s="252" t="s">
        <v>71</v>
      </c>
      <c r="D18">
        <f>SUMIFS(Trades!$I$9:$I$59,Trades!$C$9:$C$59,$C18,Trades!$K$9:$K$59,"&lt;="&amp;D$2)-SUMIFS(Trades!$I$32:$I$59,Trades!$C$32:$C$59,$C18,Trades!$M$32:$M$59,"&lt;="&amp;D$2)</f>
        <v>0</v>
      </c>
      <c r="E18">
        <f>SUMIFS(Trades!$I$9:$I$59,Trades!$C$9:$C$59,$C18,Trades!$K$9:$K$59,"&lt;="&amp;E$2)-SUMIFS(Trades!$I$32:$I$59,Trades!$C$32:$C$59,$C18,Trades!$M$32:$M$59,"&lt;="&amp;E$2)</f>
        <v>0</v>
      </c>
      <c r="F18">
        <f>SUMIFS(Trades!$I$9:$I$59,Trades!$C$9:$C$59,$C18,Trades!$K$9:$K$59,"&lt;="&amp;F$2)-SUMIFS(Trades!$I$32:$I$59,Trades!$C$32:$C$59,$C18,Trades!$M$32:$M$59,"&lt;="&amp;F$2)</f>
        <v>0</v>
      </c>
      <c r="G18">
        <f>SUMIFS(Trades!$I$9:$I$59,Trades!$C$9:$C$59,$C18,Trades!$K$9:$K$59,"&lt;="&amp;G$2)-SUMIFS(Trades!$I$32:$I$59,Trades!$C$32:$C$59,$C18,Trades!$M$32:$M$59,"&lt;="&amp;G$2)</f>
        <v>0</v>
      </c>
      <c r="H18">
        <f>SUMIFS(Trades!$I$9:$I$59,Trades!$C$9:$C$59,$C18,Trades!$K$9:$K$59,"&lt;="&amp;H$2)-SUMIFS(Trades!$I$32:$I$59,Trades!$C$32:$C$59,$C18,Trades!$M$32:$M$59,"&lt;="&amp;H$2)</f>
        <v>0</v>
      </c>
      <c r="I18">
        <f>SUMIFS(Trades!$I$9:$I$59,Trades!$C$9:$C$59,$C18,Trades!$K$9:$K$59,"&lt;="&amp;I$2)-SUMIFS(Trades!$I$32:$I$59,Trades!$C$32:$C$59,$C18,Trades!$M$32:$M$59,"&lt;="&amp;I$2)</f>
        <v>0</v>
      </c>
      <c r="M18" t="str">
        <f t="shared" si="0"/>
        <v>No</v>
      </c>
      <c r="N18" s="252" t="s">
        <v>71</v>
      </c>
      <c r="O18" s="303">
        <f>SUMIFS(Trades!$O$9:$O$59,Trades!$C$9:$C$59,C18,Trades!$G$9:$G$59,"Buy")</f>
        <v>0</v>
      </c>
      <c r="P18" s="303">
        <f>SUMIFS(Trades!$I$9:$I$59,Trades!$C$9:$C$59,$C18,Trades!$G$9:$G$59,"Buy")</f>
        <v>0</v>
      </c>
      <c r="Q18" s="62" t="str">
        <f t="shared" si="2"/>
        <v/>
      </c>
      <c r="R18">
        <f>SUMIFS(Trades!$O$9:$O$59,Trades!$C$9:$C$59,$C18,Trades!$G$9:$G$59,"Sell")</f>
        <v>0</v>
      </c>
      <c r="S18">
        <f>SUMIFS(Trades!$I$9:$I$59,Trades!$C$9:$C$59,$C18,Trades!$G$9:$G$59,"Sell")</f>
        <v>0</v>
      </c>
      <c r="T18" t="str">
        <f t="shared" si="3"/>
        <v/>
      </c>
    </row>
    <row r="19" spans="1:20" x14ac:dyDescent="0.2">
      <c r="A19" s="1" t="str">
        <f>IF(B19="Yes",COUNTIF($B$3:B19,"Yes"),"")</f>
        <v/>
      </c>
      <c r="B19" t="str">
        <f t="shared" si="1"/>
        <v>No</v>
      </c>
      <c r="C19" s="252" t="s">
        <v>92</v>
      </c>
      <c r="D19">
        <f>SUMIFS(Trades!$I$9:$I$59,Trades!$C$9:$C$59,$C19,Trades!$K$9:$K$59,"&lt;="&amp;D$2)-SUMIFS(Trades!$I$32:$I$59,Trades!$C$32:$C$59,$C19,Trades!$M$32:$M$59,"&lt;="&amp;D$2)</f>
        <v>0</v>
      </c>
      <c r="E19">
        <f>SUMIFS(Trades!$I$9:$I$59,Trades!$C$9:$C$59,$C19,Trades!$K$9:$K$59,"&lt;="&amp;E$2)-SUMIFS(Trades!$I$32:$I$59,Trades!$C$32:$C$59,$C19,Trades!$M$32:$M$59,"&lt;="&amp;E$2)</f>
        <v>0</v>
      </c>
      <c r="F19">
        <f>SUMIFS(Trades!$I$9:$I$59,Trades!$C$9:$C$59,$C19,Trades!$K$9:$K$59,"&lt;="&amp;F$2)-SUMIFS(Trades!$I$32:$I$59,Trades!$C$32:$C$59,$C19,Trades!$M$32:$M$59,"&lt;="&amp;F$2)</f>
        <v>0</v>
      </c>
      <c r="G19">
        <f>SUMIFS(Trades!$I$9:$I$59,Trades!$C$9:$C$59,$C19,Trades!$K$9:$K$59,"&lt;="&amp;G$2)-SUMIFS(Trades!$I$32:$I$59,Trades!$C$32:$C$59,$C19,Trades!$M$32:$M$59,"&lt;="&amp;G$2)</f>
        <v>0</v>
      </c>
      <c r="H19">
        <f>SUMIFS(Trades!$I$9:$I$59,Trades!$C$9:$C$59,$C19,Trades!$K$9:$K$59,"&lt;="&amp;H$2)-SUMIFS(Trades!$I$32:$I$59,Trades!$C$32:$C$59,$C19,Trades!$M$32:$M$59,"&lt;="&amp;H$2)</f>
        <v>0</v>
      </c>
      <c r="I19">
        <f>SUMIFS(Trades!$I$9:$I$59,Trades!$C$9:$C$59,$C19,Trades!$K$9:$K$59,"&lt;="&amp;I$2)-SUMIFS(Trades!$I$32:$I$59,Trades!$C$32:$C$59,$C19,Trades!$M$32:$M$59,"&lt;="&amp;I$2)</f>
        <v>0</v>
      </c>
      <c r="M19" t="str">
        <f t="shared" si="0"/>
        <v>No</v>
      </c>
      <c r="N19" s="252" t="s">
        <v>92</v>
      </c>
      <c r="O19" s="303">
        <f>SUMIFS(Trades!$O$9:$O$59,Trades!$C$9:$C$59,C19,Trades!$G$9:$G$59,"Buy")</f>
        <v>0</v>
      </c>
      <c r="P19" s="303">
        <f>SUMIFS(Trades!$I$9:$I$59,Trades!$C$9:$C$59,$C19,Trades!$G$9:$G$59,"Buy")</f>
        <v>0</v>
      </c>
      <c r="Q19" s="62" t="str">
        <f t="shared" si="2"/>
        <v/>
      </c>
      <c r="R19">
        <f>SUMIFS(Trades!$O$9:$O$59,Trades!$C$9:$C$59,$C19,Trades!$G$9:$G$59,"Sell")</f>
        <v>0</v>
      </c>
      <c r="S19">
        <f>SUMIFS(Trades!$I$9:$I$59,Trades!$C$9:$C$59,$C19,Trades!$G$9:$G$59,"Sell")</f>
        <v>0</v>
      </c>
      <c r="T19" t="str">
        <f t="shared" si="3"/>
        <v/>
      </c>
    </row>
    <row r="20" spans="1:20" x14ac:dyDescent="0.2">
      <c r="A20" s="1" t="str">
        <f>IF(B20="Yes",COUNTIF($B$3:B20,"Yes"),"")</f>
        <v/>
      </c>
      <c r="B20" t="str">
        <f t="shared" si="1"/>
        <v>No</v>
      </c>
      <c r="C20" s="252" t="s">
        <v>81</v>
      </c>
      <c r="D20">
        <f>SUMIFS(Trades!$I$9:$I$59,Trades!$C$9:$C$59,$C20,Trades!$K$9:$K$59,"&lt;="&amp;D$2)-SUMIFS(Trades!$I$32:$I$59,Trades!$C$32:$C$59,$C20,Trades!$M$32:$M$59,"&lt;="&amp;D$2)</f>
        <v>0</v>
      </c>
      <c r="E20">
        <f>SUMIFS(Trades!$I$9:$I$59,Trades!$C$9:$C$59,$C20,Trades!$K$9:$K$59,"&lt;="&amp;E$2)-SUMIFS(Trades!$I$32:$I$59,Trades!$C$32:$C$59,$C20,Trades!$M$32:$M$59,"&lt;="&amp;E$2)</f>
        <v>0</v>
      </c>
      <c r="F20">
        <f>SUMIFS(Trades!$I$9:$I$59,Trades!$C$9:$C$59,$C20,Trades!$K$9:$K$59,"&lt;="&amp;F$2)-SUMIFS(Trades!$I$32:$I$59,Trades!$C$32:$C$59,$C20,Trades!$M$32:$M$59,"&lt;="&amp;F$2)</f>
        <v>0</v>
      </c>
      <c r="G20">
        <f>SUMIFS(Trades!$I$9:$I$59,Trades!$C$9:$C$59,$C20,Trades!$K$9:$K$59,"&lt;="&amp;G$2)-SUMIFS(Trades!$I$32:$I$59,Trades!$C$32:$C$59,$C20,Trades!$M$32:$M$59,"&lt;="&amp;G$2)</f>
        <v>0</v>
      </c>
      <c r="H20">
        <f>SUMIFS(Trades!$I$9:$I$59,Trades!$C$9:$C$59,$C20,Trades!$K$9:$K$59,"&lt;="&amp;H$2)-SUMIFS(Trades!$I$32:$I$59,Trades!$C$32:$C$59,$C20,Trades!$M$32:$M$59,"&lt;="&amp;H$2)</f>
        <v>0</v>
      </c>
      <c r="I20">
        <f>SUMIFS(Trades!$I$9:$I$59,Trades!$C$9:$C$59,$C20,Trades!$K$9:$K$59,"&lt;="&amp;I$2)-SUMIFS(Trades!$I$32:$I$59,Trades!$C$32:$C$59,$C20,Trades!$M$32:$M$59,"&lt;="&amp;I$2)</f>
        <v>0</v>
      </c>
      <c r="M20" t="str">
        <f t="shared" si="0"/>
        <v>No</v>
      </c>
      <c r="N20" s="252" t="s">
        <v>81</v>
      </c>
      <c r="O20" s="303">
        <f>SUMIFS(Trades!$O$9:$O$59,Trades!$C$9:$C$59,C20,Trades!$G$9:$G$59,"Buy")</f>
        <v>0</v>
      </c>
      <c r="P20" s="303">
        <f>SUMIFS(Trades!$I$9:$I$59,Trades!$C$9:$C$59,$C20,Trades!$G$9:$G$59,"Buy")</f>
        <v>0</v>
      </c>
      <c r="Q20" s="62" t="str">
        <f t="shared" si="2"/>
        <v/>
      </c>
      <c r="R20">
        <f>SUMIFS(Trades!$O$9:$O$59,Trades!$C$9:$C$59,$C20,Trades!$G$9:$G$59,"Sell")</f>
        <v>0</v>
      </c>
      <c r="S20">
        <f>SUMIFS(Trades!$I$9:$I$59,Trades!$C$9:$C$59,$C20,Trades!$G$9:$G$59,"Sell")</f>
        <v>0</v>
      </c>
      <c r="T20" t="str">
        <f t="shared" si="3"/>
        <v/>
      </c>
    </row>
    <row r="21" spans="1:20" x14ac:dyDescent="0.2">
      <c r="A21" s="1" t="str">
        <f>IF(B21="Yes",COUNTIF($B$3:B21,"Yes"),"")</f>
        <v/>
      </c>
      <c r="B21" t="str">
        <f t="shared" si="1"/>
        <v>No</v>
      </c>
      <c r="C21" s="252" t="s">
        <v>91</v>
      </c>
      <c r="D21">
        <f>SUMIFS(Trades!$I$9:$I$59,Trades!$C$9:$C$59,$C21,Trades!$K$9:$K$59,"&lt;="&amp;D$2)-SUMIFS(Trades!$I$32:$I$59,Trades!$C$32:$C$59,$C21,Trades!$M$32:$M$59,"&lt;="&amp;D$2)</f>
        <v>0</v>
      </c>
      <c r="E21">
        <f>SUMIFS(Trades!$I$9:$I$59,Trades!$C$9:$C$59,$C21,Trades!$K$9:$K$59,"&lt;="&amp;E$2)-SUMIFS(Trades!$I$32:$I$59,Trades!$C$32:$C$59,$C21,Trades!$M$32:$M$59,"&lt;="&amp;E$2)</f>
        <v>0</v>
      </c>
      <c r="F21">
        <f>SUMIFS(Trades!$I$9:$I$59,Trades!$C$9:$C$59,$C21,Trades!$K$9:$K$59,"&lt;="&amp;F$2)-SUMIFS(Trades!$I$32:$I$59,Trades!$C$32:$C$59,$C21,Trades!$M$32:$M$59,"&lt;="&amp;F$2)</f>
        <v>0</v>
      </c>
      <c r="G21">
        <f>SUMIFS(Trades!$I$9:$I$59,Trades!$C$9:$C$59,$C21,Trades!$K$9:$K$59,"&lt;="&amp;G$2)-SUMIFS(Trades!$I$32:$I$59,Trades!$C$32:$C$59,$C21,Trades!$M$32:$M$59,"&lt;="&amp;G$2)</f>
        <v>0</v>
      </c>
      <c r="H21">
        <f>SUMIFS(Trades!$I$9:$I$59,Trades!$C$9:$C$59,$C21,Trades!$K$9:$K$59,"&lt;="&amp;H$2)-SUMIFS(Trades!$I$32:$I$59,Trades!$C$32:$C$59,$C21,Trades!$M$32:$M$59,"&lt;="&amp;H$2)</f>
        <v>0</v>
      </c>
      <c r="I21">
        <f>SUMIFS(Trades!$I$9:$I$59,Trades!$C$9:$C$59,$C21,Trades!$K$9:$K$59,"&lt;="&amp;I$2)-SUMIFS(Trades!$I$32:$I$59,Trades!$C$32:$C$59,$C21,Trades!$M$32:$M$59,"&lt;="&amp;I$2)</f>
        <v>0</v>
      </c>
      <c r="M21" t="str">
        <f t="shared" si="0"/>
        <v>No</v>
      </c>
      <c r="N21" s="252" t="s">
        <v>91</v>
      </c>
      <c r="O21" s="303">
        <f>SUMIFS(Trades!$O$9:$O$59,Trades!$C$9:$C$59,C21,Trades!$G$9:$G$59,"Buy")</f>
        <v>0</v>
      </c>
      <c r="P21" s="303">
        <f>SUMIFS(Trades!$I$9:$I$59,Trades!$C$9:$C$59,$C21,Trades!$G$9:$G$59,"Buy")</f>
        <v>0</v>
      </c>
      <c r="Q21" s="62" t="str">
        <f t="shared" si="2"/>
        <v/>
      </c>
      <c r="R21">
        <f>SUMIFS(Trades!$O$9:$O$59,Trades!$C$9:$C$59,$C21,Trades!$G$9:$G$59,"Sell")</f>
        <v>0</v>
      </c>
      <c r="S21">
        <f>SUMIFS(Trades!$I$9:$I$59,Trades!$C$9:$C$59,$C21,Trades!$G$9:$G$59,"Sell")</f>
        <v>0</v>
      </c>
      <c r="T21" t="str">
        <f t="shared" si="3"/>
        <v/>
      </c>
    </row>
    <row r="22" spans="1:20" x14ac:dyDescent="0.2">
      <c r="A22" s="1" t="str">
        <f>IF(B22="Yes",COUNTIF($B$3:B22,"Yes"),"")</f>
        <v/>
      </c>
      <c r="B22" t="str">
        <f t="shared" si="1"/>
        <v>No</v>
      </c>
      <c r="C22" s="252" t="s">
        <v>61</v>
      </c>
      <c r="D22">
        <f>SUMIFS(Trades!$I$9:$I$59,Trades!$C$9:$C$59,$C22,Trades!$K$9:$K$59,"&lt;="&amp;D$2)-SUMIFS(Trades!$I$32:$I$59,Trades!$C$32:$C$59,$C22,Trades!$M$32:$M$59,"&lt;="&amp;D$2)</f>
        <v>0</v>
      </c>
      <c r="E22">
        <f>SUMIFS(Trades!$I$9:$I$59,Trades!$C$9:$C$59,$C22,Trades!$K$9:$K$59,"&lt;="&amp;E$2)-SUMIFS(Trades!$I$32:$I$59,Trades!$C$32:$C$59,$C22,Trades!$M$32:$M$59,"&lt;="&amp;E$2)</f>
        <v>0</v>
      </c>
      <c r="F22">
        <f>SUMIFS(Trades!$I$9:$I$59,Trades!$C$9:$C$59,$C22,Trades!$K$9:$K$59,"&lt;="&amp;F$2)-SUMIFS(Trades!$I$32:$I$59,Trades!$C$32:$C$59,$C22,Trades!$M$32:$M$59,"&lt;="&amp;F$2)</f>
        <v>0</v>
      </c>
      <c r="G22">
        <f>SUMIFS(Trades!$I$9:$I$59,Trades!$C$9:$C$59,$C22,Trades!$K$9:$K$59,"&lt;="&amp;G$2)-SUMIFS(Trades!$I$32:$I$59,Trades!$C$32:$C$59,$C22,Trades!$M$32:$M$59,"&lt;="&amp;G$2)</f>
        <v>0</v>
      </c>
      <c r="H22">
        <f>SUMIFS(Trades!$I$9:$I$59,Trades!$C$9:$C$59,$C22,Trades!$K$9:$K$59,"&lt;="&amp;H$2)-SUMIFS(Trades!$I$32:$I$59,Trades!$C$32:$C$59,$C22,Trades!$M$32:$M$59,"&lt;="&amp;H$2)</f>
        <v>0</v>
      </c>
      <c r="I22">
        <f>SUMIFS(Trades!$I$9:$I$59,Trades!$C$9:$C$59,$C22,Trades!$K$9:$K$59,"&lt;="&amp;I$2)-SUMIFS(Trades!$I$32:$I$59,Trades!$C$32:$C$59,$C22,Trades!$M$32:$M$59,"&lt;="&amp;I$2)</f>
        <v>0</v>
      </c>
      <c r="M22" t="str">
        <f t="shared" si="0"/>
        <v>No</v>
      </c>
      <c r="N22" s="252" t="s">
        <v>61</v>
      </c>
      <c r="O22" s="303">
        <f>SUMIFS(Trades!$O$9:$O$59,Trades!$C$9:$C$59,C22,Trades!$G$9:$G$59,"Buy")</f>
        <v>0</v>
      </c>
      <c r="P22" s="303">
        <f>SUMIFS(Trades!$I$9:$I$59,Trades!$C$9:$C$59,$C22,Trades!$G$9:$G$59,"Buy")</f>
        <v>0</v>
      </c>
      <c r="Q22" s="62" t="str">
        <f t="shared" si="2"/>
        <v/>
      </c>
      <c r="R22">
        <f>SUMIFS(Trades!$O$9:$O$59,Trades!$C$9:$C$59,$C22,Trades!$G$9:$G$59,"Sell")</f>
        <v>0</v>
      </c>
      <c r="S22">
        <f>SUMIFS(Trades!$I$9:$I$59,Trades!$C$9:$C$59,$C22,Trades!$G$9:$G$59,"Sell")</f>
        <v>0</v>
      </c>
      <c r="T22" t="str">
        <f t="shared" si="3"/>
        <v/>
      </c>
    </row>
    <row r="23" spans="1:20" x14ac:dyDescent="0.2">
      <c r="A23" s="1" t="str">
        <f>IF(B23="Yes",COUNTIF($B$3:B23,"Yes"),"")</f>
        <v/>
      </c>
      <c r="B23" t="str">
        <f t="shared" si="1"/>
        <v>No</v>
      </c>
      <c r="C23" s="252" t="s">
        <v>86</v>
      </c>
      <c r="D23">
        <f>SUMIFS(Trades!$I$9:$I$59,Trades!$C$9:$C$59,$C23,Trades!$K$9:$K$59,"&lt;="&amp;D$2)-SUMIFS(Trades!$I$32:$I$59,Trades!$C$32:$C$59,$C23,Trades!$M$32:$M$59,"&lt;="&amp;D$2)</f>
        <v>0</v>
      </c>
      <c r="E23">
        <f>SUMIFS(Trades!$I$9:$I$59,Trades!$C$9:$C$59,$C23,Trades!$K$9:$K$59,"&lt;="&amp;E$2)-SUMIFS(Trades!$I$32:$I$59,Trades!$C$32:$C$59,$C23,Trades!$M$32:$M$59,"&lt;="&amp;E$2)</f>
        <v>0</v>
      </c>
      <c r="F23">
        <f>SUMIFS(Trades!$I$9:$I$59,Trades!$C$9:$C$59,$C23,Trades!$K$9:$K$59,"&lt;="&amp;F$2)-SUMIFS(Trades!$I$32:$I$59,Trades!$C$32:$C$59,$C23,Trades!$M$32:$M$59,"&lt;="&amp;F$2)</f>
        <v>0</v>
      </c>
      <c r="G23">
        <f>SUMIFS(Trades!$I$9:$I$59,Trades!$C$9:$C$59,$C23,Trades!$K$9:$K$59,"&lt;="&amp;G$2)-SUMIFS(Trades!$I$32:$I$59,Trades!$C$32:$C$59,$C23,Trades!$M$32:$M$59,"&lt;="&amp;G$2)</f>
        <v>0</v>
      </c>
      <c r="H23">
        <f>SUMIFS(Trades!$I$9:$I$59,Trades!$C$9:$C$59,$C23,Trades!$K$9:$K$59,"&lt;="&amp;H$2)-SUMIFS(Trades!$I$32:$I$59,Trades!$C$32:$C$59,$C23,Trades!$M$32:$M$59,"&lt;="&amp;H$2)</f>
        <v>0</v>
      </c>
      <c r="I23">
        <f>SUMIFS(Trades!$I$9:$I$59,Trades!$C$9:$C$59,$C23,Trades!$K$9:$K$59,"&lt;="&amp;I$2)-SUMIFS(Trades!$I$32:$I$59,Trades!$C$32:$C$59,$C23,Trades!$M$32:$M$59,"&lt;="&amp;I$2)</f>
        <v>0</v>
      </c>
      <c r="M23" t="str">
        <f t="shared" si="0"/>
        <v>No</v>
      </c>
      <c r="N23" s="252" t="s">
        <v>86</v>
      </c>
      <c r="O23" s="303">
        <f>SUMIFS(Trades!$O$9:$O$59,Trades!$C$9:$C$59,C23,Trades!$G$9:$G$59,"Buy")</f>
        <v>0</v>
      </c>
      <c r="P23" s="303">
        <f>SUMIFS(Trades!$I$9:$I$59,Trades!$C$9:$C$59,$C23,Trades!$G$9:$G$59,"Buy")</f>
        <v>0</v>
      </c>
      <c r="Q23" s="62" t="str">
        <f t="shared" si="2"/>
        <v/>
      </c>
      <c r="R23">
        <f>SUMIFS(Trades!$O$9:$O$59,Trades!$C$9:$C$59,$C23,Trades!$G$9:$G$59,"Sell")</f>
        <v>0</v>
      </c>
      <c r="S23">
        <f>SUMIFS(Trades!$I$9:$I$59,Trades!$C$9:$C$59,$C23,Trades!$G$9:$G$59,"Sell")</f>
        <v>0</v>
      </c>
      <c r="T23" t="str">
        <f t="shared" si="3"/>
        <v/>
      </c>
    </row>
    <row r="24" spans="1:20" x14ac:dyDescent="0.2">
      <c r="A24" s="1" t="str">
        <f>IF(B24="Yes",COUNTIF($B$3:B24,"Yes"),"")</f>
        <v/>
      </c>
      <c r="B24" t="str">
        <f t="shared" si="1"/>
        <v>No</v>
      </c>
      <c r="C24" s="252" t="s">
        <v>93</v>
      </c>
      <c r="D24">
        <f>SUMIFS(Trades!$I$9:$I$59,Trades!$C$9:$C$59,$C24,Trades!$K$9:$K$59,"&lt;="&amp;D$2)-SUMIFS(Trades!$I$32:$I$59,Trades!$C$32:$C$59,$C24,Trades!$M$32:$M$59,"&lt;="&amp;D$2)</f>
        <v>0</v>
      </c>
      <c r="E24">
        <f>SUMIFS(Trades!$I$9:$I$59,Trades!$C$9:$C$59,$C24,Trades!$K$9:$K$59,"&lt;="&amp;E$2)-SUMIFS(Trades!$I$32:$I$59,Trades!$C$32:$C$59,$C24,Trades!$M$32:$M$59,"&lt;="&amp;E$2)</f>
        <v>0</v>
      </c>
      <c r="F24">
        <f>SUMIFS(Trades!$I$9:$I$59,Trades!$C$9:$C$59,$C24,Trades!$K$9:$K$59,"&lt;="&amp;F$2)-SUMIFS(Trades!$I$32:$I$59,Trades!$C$32:$C$59,$C24,Trades!$M$32:$M$59,"&lt;="&amp;F$2)</f>
        <v>0</v>
      </c>
      <c r="G24">
        <f>SUMIFS(Trades!$I$9:$I$59,Trades!$C$9:$C$59,$C24,Trades!$K$9:$K$59,"&lt;="&amp;G$2)-SUMIFS(Trades!$I$32:$I$59,Trades!$C$32:$C$59,$C24,Trades!$M$32:$M$59,"&lt;="&amp;G$2)</f>
        <v>0</v>
      </c>
      <c r="H24">
        <f>SUMIFS(Trades!$I$9:$I$59,Trades!$C$9:$C$59,$C24,Trades!$K$9:$K$59,"&lt;="&amp;H$2)-SUMIFS(Trades!$I$32:$I$59,Trades!$C$32:$C$59,$C24,Trades!$M$32:$M$59,"&lt;="&amp;H$2)</f>
        <v>0</v>
      </c>
      <c r="I24">
        <f>SUMIFS(Trades!$I$9:$I$59,Trades!$C$9:$C$59,$C24,Trades!$K$9:$K$59,"&lt;="&amp;I$2)-SUMIFS(Trades!$I$32:$I$59,Trades!$C$32:$C$59,$C24,Trades!$M$32:$M$59,"&lt;="&amp;I$2)</f>
        <v>0</v>
      </c>
      <c r="M24" t="str">
        <f t="shared" si="0"/>
        <v>No</v>
      </c>
      <c r="N24" s="252" t="s">
        <v>93</v>
      </c>
      <c r="O24" s="303">
        <f>SUMIFS(Trades!$O$9:$O$59,Trades!$C$9:$C$59,C24,Trades!$G$9:$G$59,"Buy")</f>
        <v>0</v>
      </c>
      <c r="P24" s="303">
        <f>SUMIFS(Trades!$I$9:$I$59,Trades!$C$9:$C$59,$C24,Trades!$G$9:$G$59,"Buy")</f>
        <v>0</v>
      </c>
      <c r="Q24" s="62" t="str">
        <f t="shared" si="2"/>
        <v/>
      </c>
      <c r="R24">
        <f>SUMIFS(Trades!$O$9:$O$59,Trades!$C$9:$C$59,$C24,Trades!$G$9:$G$59,"Sell")</f>
        <v>0</v>
      </c>
      <c r="S24">
        <f>SUMIFS(Trades!$I$9:$I$59,Trades!$C$9:$C$59,$C24,Trades!$G$9:$G$59,"Sell")</f>
        <v>0</v>
      </c>
      <c r="T24" t="str">
        <f t="shared" si="3"/>
        <v/>
      </c>
    </row>
    <row r="25" spans="1:20" x14ac:dyDescent="0.2">
      <c r="A25" s="1" t="str">
        <f>IF(B25="Yes",COUNTIF($B$3:B25,"Yes"),"")</f>
        <v/>
      </c>
      <c r="B25" t="str">
        <f t="shared" si="1"/>
        <v>No</v>
      </c>
      <c r="C25" s="252" t="s">
        <v>95</v>
      </c>
      <c r="D25">
        <f>SUMIFS(Trades!$I$9:$I$59,Trades!$C$9:$C$59,$C25,Trades!$K$9:$K$59,"&lt;="&amp;D$2)-SUMIFS(Trades!$I$32:$I$59,Trades!$C$32:$C$59,$C25,Trades!$M$32:$M$59,"&lt;="&amp;D$2)</f>
        <v>0</v>
      </c>
      <c r="E25">
        <f>SUMIFS(Trades!$I$9:$I$59,Trades!$C$9:$C$59,$C25,Trades!$K$9:$K$59,"&lt;="&amp;E$2)-SUMIFS(Trades!$I$32:$I$59,Trades!$C$32:$C$59,$C25,Trades!$M$32:$M$59,"&lt;="&amp;E$2)</f>
        <v>0</v>
      </c>
      <c r="F25">
        <f>SUMIFS(Trades!$I$9:$I$59,Trades!$C$9:$C$59,$C25,Trades!$K$9:$K$59,"&lt;="&amp;F$2)-SUMIFS(Trades!$I$32:$I$59,Trades!$C$32:$C$59,$C25,Trades!$M$32:$M$59,"&lt;="&amp;F$2)</f>
        <v>0</v>
      </c>
      <c r="G25">
        <f>SUMIFS(Trades!$I$9:$I$59,Trades!$C$9:$C$59,$C25,Trades!$K$9:$K$59,"&lt;="&amp;G$2)-SUMIFS(Trades!$I$32:$I$59,Trades!$C$32:$C$59,$C25,Trades!$M$32:$M$59,"&lt;="&amp;G$2)</f>
        <v>0</v>
      </c>
      <c r="H25">
        <f>SUMIFS(Trades!$I$9:$I$59,Trades!$C$9:$C$59,$C25,Trades!$K$9:$K$59,"&lt;="&amp;H$2)-SUMIFS(Trades!$I$32:$I$59,Trades!$C$32:$C$59,$C25,Trades!$M$32:$M$59,"&lt;="&amp;H$2)</f>
        <v>0</v>
      </c>
      <c r="I25">
        <f>SUMIFS(Trades!$I$9:$I$59,Trades!$C$9:$C$59,$C25,Trades!$K$9:$K$59,"&lt;="&amp;I$2)-SUMIFS(Trades!$I$32:$I$59,Trades!$C$32:$C$59,$C25,Trades!$M$32:$M$59,"&lt;="&amp;I$2)</f>
        <v>0</v>
      </c>
      <c r="M25" t="str">
        <f t="shared" si="0"/>
        <v>No</v>
      </c>
      <c r="N25" s="252" t="s">
        <v>95</v>
      </c>
      <c r="O25" s="303">
        <f>SUMIFS(Trades!$O$9:$O$59,Trades!$C$9:$C$59,C25,Trades!$G$9:$G$59,"Buy")</f>
        <v>0</v>
      </c>
      <c r="P25" s="303">
        <f>SUMIFS(Trades!$I$9:$I$59,Trades!$C$9:$C$59,$C25,Trades!$G$9:$G$59,"Buy")</f>
        <v>0</v>
      </c>
      <c r="Q25" s="62" t="str">
        <f t="shared" si="2"/>
        <v/>
      </c>
      <c r="R25">
        <f>SUMIFS(Trades!$O$9:$O$59,Trades!$C$9:$C$59,$C25,Trades!$G$9:$G$59,"Sell")</f>
        <v>0</v>
      </c>
      <c r="S25">
        <f>SUMIFS(Trades!$I$9:$I$59,Trades!$C$9:$C$59,$C25,Trades!$G$9:$G$59,"Sell")</f>
        <v>0</v>
      </c>
      <c r="T25" t="str">
        <f t="shared" si="3"/>
        <v/>
      </c>
    </row>
    <row r="26" spans="1:20" x14ac:dyDescent="0.2">
      <c r="A26" s="1" t="str">
        <f>IF(B26="Yes",COUNTIF($B$3:B26,"Yes"),"")</f>
        <v/>
      </c>
      <c r="B26" t="str">
        <f t="shared" si="1"/>
        <v>No</v>
      </c>
      <c r="C26" s="252" t="s">
        <v>83</v>
      </c>
      <c r="D26">
        <f>SUMIFS(Trades!$I$9:$I$59,Trades!$C$9:$C$59,$C26,Trades!$K$9:$K$59,"&lt;="&amp;D$2)-SUMIFS(Trades!$I$32:$I$59,Trades!$C$32:$C$59,$C26,Trades!$M$32:$M$59,"&lt;="&amp;D$2)</f>
        <v>0</v>
      </c>
      <c r="E26">
        <f>SUMIFS(Trades!$I$9:$I$59,Trades!$C$9:$C$59,$C26,Trades!$K$9:$K$59,"&lt;="&amp;E$2)-SUMIFS(Trades!$I$32:$I$59,Trades!$C$32:$C$59,$C26,Trades!$M$32:$M$59,"&lt;="&amp;E$2)</f>
        <v>0</v>
      </c>
      <c r="F26">
        <f>SUMIFS(Trades!$I$9:$I$59,Trades!$C$9:$C$59,$C26,Trades!$K$9:$K$59,"&lt;="&amp;F$2)-SUMIFS(Trades!$I$32:$I$59,Trades!$C$32:$C$59,$C26,Trades!$M$32:$M$59,"&lt;="&amp;F$2)</f>
        <v>0</v>
      </c>
      <c r="G26">
        <f>SUMIFS(Trades!$I$9:$I$59,Trades!$C$9:$C$59,$C26,Trades!$K$9:$K$59,"&lt;="&amp;G$2)-SUMIFS(Trades!$I$32:$I$59,Trades!$C$32:$C$59,$C26,Trades!$M$32:$M$59,"&lt;="&amp;G$2)</f>
        <v>0</v>
      </c>
      <c r="H26">
        <f>SUMIFS(Trades!$I$9:$I$59,Trades!$C$9:$C$59,$C26,Trades!$K$9:$K$59,"&lt;="&amp;H$2)-SUMIFS(Trades!$I$32:$I$59,Trades!$C$32:$C$59,$C26,Trades!$M$32:$M$59,"&lt;="&amp;H$2)</f>
        <v>0</v>
      </c>
      <c r="I26">
        <f>SUMIFS(Trades!$I$9:$I$59,Trades!$C$9:$C$59,$C26,Trades!$K$9:$K$59,"&lt;="&amp;I$2)-SUMIFS(Trades!$I$32:$I$59,Trades!$C$32:$C$59,$C26,Trades!$M$32:$M$59,"&lt;="&amp;I$2)</f>
        <v>0</v>
      </c>
      <c r="M26" t="str">
        <f t="shared" si="0"/>
        <v>No</v>
      </c>
      <c r="N26" s="252" t="s">
        <v>83</v>
      </c>
      <c r="O26" s="303">
        <f>SUMIFS(Trades!$O$9:$O$59,Trades!$C$9:$C$59,C26,Trades!$G$9:$G$59,"Buy")</f>
        <v>0</v>
      </c>
      <c r="P26" s="303">
        <f>SUMIFS(Trades!$I$9:$I$59,Trades!$C$9:$C$59,$C26,Trades!$G$9:$G$59,"Buy")</f>
        <v>0</v>
      </c>
      <c r="Q26" s="62" t="str">
        <f t="shared" si="2"/>
        <v/>
      </c>
      <c r="R26">
        <f>SUMIFS(Trades!$O$9:$O$59,Trades!$C$9:$C$59,$C26,Trades!$G$9:$G$59,"Sell")</f>
        <v>0</v>
      </c>
      <c r="S26">
        <f>SUMIFS(Trades!$I$9:$I$59,Trades!$C$9:$C$59,$C26,Trades!$G$9:$G$59,"Sell")</f>
        <v>0</v>
      </c>
      <c r="T26" t="str">
        <f t="shared" si="3"/>
        <v/>
      </c>
    </row>
    <row r="27" spans="1:20" x14ac:dyDescent="0.2">
      <c r="A27" s="1" t="str">
        <f>IF(B27="Yes",COUNTIF($B$3:B27,"Yes"),"")</f>
        <v/>
      </c>
      <c r="B27" t="str">
        <f t="shared" si="1"/>
        <v>No</v>
      </c>
      <c r="C27" s="252" t="s">
        <v>72</v>
      </c>
      <c r="D27">
        <f>SUMIFS(Trades!$I$9:$I$59,Trades!$C$9:$C$59,$C27,Trades!$K$9:$K$59,"&lt;="&amp;D$2)-SUMIFS(Trades!$I$32:$I$59,Trades!$C$32:$C$59,$C27,Trades!$M$32:$M$59,"&lt;="&amp;D$2)</f>
        <v>0</v>
      </c>
      <c r="E27">
        <f>SUMIFS(Trades!$I$9:$I$59,Trades!$C$9:$C$59,$C27,Trades!$K$9:$K$59,"&lt;="&amp;E$2)-SUMIFS(Trades!$I$32:$I$59,Trades!$C$32:$C$59,$C27,Trades!$M$32:$M$59,"&lt;="&amp;E$2)</f>
        <v>0</v>
      </c>
      <c r="F27">
        <f>SUMIFS(Trades!$I$9:$I$59,Trades!$C$9:$C$59,$C27,Trades!$K$9:$K$59,"&lt;="&amp;F$2)-SUMIFS(Trades!$I$32:$I$59,Trades!$C$32:$C$59,$C27,Trades!$M$32:$M$59,"&lt;="&amp;F$2)</f>
        <v>0</v>
      </c>
      <c r="G27">
        <f>SUMIFS(Trades!$I$9:$I$59,Trades!$C$9:$C$59,$C27,Trades!$K$9:$K$59,"&lt;="&amp;G$2)-SUMIFS(Trades!$I$32:$I$59,Trades!$C$32:$C$59,$C27,Trades!$M$32:$M$59,"&lt;="&amp;G$2)</f>
        <v>0</v>
      </c>
      <c r="H27">
        <f>SUMIFS(Trades!$I$9:$I$59,Trades!$C$9:$C$59,$C27,Trades!$K$9:$K$59,"&lt;="&amp;H$2)-SUMIFS(Trades!$I$32:$I$59,Trades!$C$32:$C$59,$C27,Trades!$M$32:$M$59,"&lt;="&amp;H$2)</f>
        <v>0</v>
      </c>
      <c r="I27">
        <f>SUMIFS(Trades!$I$9:$I$59,Trades!$C$9:$C$59,$C27,Trades!$K$9:$K$59,"&lt;="&amp;I$2)-SUMIFS(Trades!$I$32:$I$59,Trades!$C$32:$C$59,$C27,Trades!$M$32:$M$59,"&lt;="&amp;I$2)</f>
        <v>0</v>
      </c>
      <c r="M27" t="str">
        <f t="shared" si="0"/>
        <v>No</v>
      </c>
      <c r="N27" s="252" t="s">
        <v>72</v>
      </c>
      <c r="O27" s="303">
        <f>SUMIFS(Trades!$O$9:$O$59,Trades!$C$9:$C$59,C27,Trades!$G$9:$G$59,"Buy")</f>
        <v>0</v>
      </c>
      <c r="P27" s="303">
        <f>SUMIFS(Trades!$I$9:$I$59,Trades!$C$9:$C$59,$C27,Trades!$G$9:$G$59,"Buy")</f>
        <v>0</v>
      </c>
      <c r="Q27" s="62" t="str">
        <f t="shared" si="2"/>
        <v/>
      </c>
      <c r="R27">
        <f>SUMIFS(Trades!$O$9:$O$59,Trades!$C$9:$C$59,$C27,Trades!$G$9:$G$59,"Sell")</f>
        <v>0</v>
      </c>
      <c r="S27">
        <f>SUMIFS(Trades!$I$9:$I$59,Trades!$C$9:$C$59,$C27,Trades!$G$9:$G$59,"Sell")</f>
        <v>0</v>
      </c>
      <c r="T27" t="str">
        <f t="shared" si="3"/>
        <v/>
      </c>
    </row>
    <row r="28" spans="1:20" x14ac:dyDescent="0.2">
      <c r="A28" s="1" t="str">
        <f>IF(B28="Yes",COUNTIF($B$3:B28,"Yes"),"")</f>
        <v/>
      </c>
      <c r="B28" t="str">
        <f t="shared" si="1"/>
        <v>No</v>
      </c>
      <c r="C28" s="252" t="s">
        <v>50</v>
      </c>
      <c r="D28">
        <f>SUMIFS(Trades!$I$9:$I$59,Trades!$C$9:$C$59,$C28,Trades!$K$9:$K$59,"&lt;="&amp;D$2)-SUMIFS(Trades!$I$32:$I$59,Trades!$C$32:$C$59,$C28,Trades!$M$32:$M$59,"&lt;="&amp;D$2)</f>
        <v>0</v>
      </c>
      <c r="E28">
        <f>SUMIFS(Trades!$I$9:$I$59,Trades!$C$9:$C$59,$C28,Trades!$K$9:$K$59,"&lt;="&amp;E$2)-SUMIFS(Trades!$I$32:$I$59,Trades!$C$32:$C$59,$C28,Trades!$M$32:$M$59,"&lt;="&amp;E$2)</f>
        <v>0</v>
      </c>
      <c r="F28">
        <f>SUMIFS(Trades!$I$9:$I$59,Trades!$C$9:$C$59,$C28,Trades!$K$9:$K$59,"&lt;="&amp;F$2)-SUMIFS(Trades!$I$32:$I$59,Trades!$C$32:$C$59,$C28,Trades!$M$32:$M$59,"&lt;="&amp;F$2)</f>
        <v>0</v>
      </c>
      <c r="G28">
        <f>SUMIFS(Trades!$I$9:$I$59,Trades!$C$9:$C$59,$C28,Trades!$K$9:$K$59,"&lt;="&amp;G$2)-SUMIFS(Trades!$I$32:$I$59,Trades!$C$32:$C$59,$C28,Trades!$M$32:$M$59,"&lt;="&amp;G$2)</f>
        <v>0</v>
      </c>
      <c r="H28">
        <f>SUMIFS(Trades!$I$9:$I$59,Trades!$C$9:$C$59,$C28,Trades!$K$9:$K$59,"&lt;="&amp;H$2)-SUMIFS(Trades!$I$32:$I$59,Trades!$C$32:$C$59,$C28,Trades!$M$32:$M$59,"&lt;="&amp;H$2)</f>
        <v>0</v>
      </c>
      <c r="I28">
        <f>SUMIFS(Trades!$I$9:$I$59,Trades!$C$9:$C$59,$C28,Trades!$K$9:$K$59,"&lt;="&amp;I$2)-SUMIFS(Trades!$I$32:$I$59,Trades!$C$32:$C$59,$C28,Trades!$M$32:$M$59,"&lt;="&amp;I$2)</f>
        <v>0</v>
      </c>
      <c r="M28" t="str">
        <f t="shared" si="0"/>
        <v>No</v>
      </c>
      <c r="N28" s="252" t="s">
        <v>50</v>
      </c>
      <c r="O28" s="303">
        <f>SUMIFS(Trades!$O$9:$O$59,Trades!$C$9:$C$59,C28,Trades!$G$9:$G$59,"Buy")</f>
        <v>0</v>
      </c>
      <c r="P28" s="303">
        <f>SUMIFS(Trades!$I$9:$I$59,Trades!$C$9:$C$59,$C28,Trades!$G$9:$G$59,"Buy")</f>
        <v>0</v>
      </c>
      <c r="Q28" s="62" t="str">
        <f t="shared" si="2"/>
        <v/>
      </c>
      <c r="R28">
        <f>SUMIFS(Trades!$O$9:$O$59,Trades!$C$9:$C$59,$C28,Trades!$G$9:$G$59,"Sell")</f>
        <v>0</v>
      </c>
      <c r="S28">
        <f>SUMIFS(Trades!$I$9:$I$59,Trades!$C$9:$C$59,$C28,Trades!$G$9:$G$59,"Sell")</f>
        <v>0</v>
      </c>
      <c r="T28" t="str">
        <f t="shared" si="3"/>
        <v/>
      </c>
    </row>
    <row r="29" spans="1:20" x14ac:dyDescent="0.2">
      <c r="A29" s="1" t="str">
        <f>IF(B29="Yes",COUNTIF($B$3:B29,"Yes"),"")</f>
        <v/>
      </c>
      <c r="B29" t="str">
        <f t="shared" si="1"/>
        <v>No</v>
      </c>
      <c r="C29" s="252" t="s">
        <v>90</v>
      </c>
      <c r="D29">
        <f>SUMIFS(Trades!$I$9:$I$59,Trades!$C$9:$C$59,$C29,Trades!$K$9:$K$59,"&lt;="&amp;D$2)-SUMIFS(Trades!$I$32:$I$59,Trades!$C$32:$C$59,$C29,Trades!$M$32:$M$59,"&lt;="&amp;D$2)</f>
        <v>0</v>
      </c>
      <c r="E29">
        <f>SUMIFS(Trades!$I$9:$I$59,Trades!$C$9:$C$59,$C29,Trades!$K$9:$K$59,"&lt;="&amp;E$2)-SUMIFS(Trades!$I$32:$I$59,Trades!$C$32:$C$59,$C29,Trades!$M$32:$M$59,"&lt;="&amp;E$2)</f>
        <v>0</v>
      </c>
      <c r="F29">
        <f>SUMIFS(Trades!$I$9:$I$59,Trades!$C$9:$C$59,$C29,Trades!$K$9:$K$59,"&lt;="&amp;F$2)-SUMIFS(Trades!$I$32:$I$59,Trades!$C$32:$C$59,$C29,Trades!$M$32:$M$59,"&lt;="&amp;F$2)</f>
        <v>0</v>
      </c>
      <c r="G29">
        <f>SUMIFS(Trades!$I$9:$I$59,Trades!$C$9:$C$59,$C29,Trades!$K$9:$K$59,"&lt;="&amp;G$2)-SUMIFS(Trades!$I$32:$I$59,Trades!$C$32:$C$59,$C29,Trades!$M$32:$M$59,"&lt;="&amp;G$2)</f>
        <v>0</v>
      </c>
      <c r="H29">
        <f>SUMIFS(Trades!$I$9:$I$59,Trades!$C$9:$C$59,$C29,Trades!$K$9:$K$59,"&lt;="&amp;H$2)-SUMIFS(Trades!$I$32:$I$59,Trades!$C$32:$C$59,$C29,Trades!$M$32:$M$59,"&lt;="&amp;H$2)</f>
        <v>0</v>
      </c>
      <c r="I29">
        <f>SUMIFS(Trades!$I$9:$I$59,Trades!$C$9:$C$59,$C29,Trades!$K$9:$K$59,"&lt;="&amp;I$2)-SUMIFS(Trades!$I$32:$I$59,Trades!$C$32:$C$59,$C29,Trades!$M$32:$M$59,"&lt;="&amp;I$2)</f>
        <v>0</v>
      </c>
      <c r="M29" t="str">
        <f t="shared" si="0"/>
        <v>No</v>
      </c>
      <c r="N29" s="252" t="s">
        <v>90</v>
      </c>
      <c r="O29" s="303">
        <f>SUMIFS(Trades!$O$9:$O$59,Trades!$C$9:$C$59,C29,Trades!$G$9:$G$59,"Buy")</f>
        <v>0</v>
      </c>
      <c r="P29" s="303">
        <f>SUMIFS(Trades!$I$9:$I$59,Trades!$C$9:$C$59,$C29,Trades!$G$9:$G$59,"Buy")</f>
        <v>0</v>
      </c>
      <c r="Q29" s="62" t="str">
        <f t="shared" si="2"/>
        <v/>
      </c>
      <c r="R29">
        <f>SUMIFS(Trades!$O$9:$O$59,Trades!$C$9:$C$59,$C29,Trades!$G$9:$G$59,"Sell")</f>
        <v>0</v>
      </c>
      <c r="S29">
        <f>SUMIFS(Trades!$I$9:$I$59,Trades!$C$9:$C$59,$C29,Trades!$G$9:$G$59,"Sell")</f>
        <v>0</v>
      </c>
      <c r="T29" t="str">
        <f t="shared" si="3"/>
        <v/>
      </c>
    </row>
    <row r="30" spans="1:20" x14ac:dyDescent="0.2">
      <c r="A30" s="1">
        <f>IF(B30="Yes",COUNTIF($B$3:B30,"Yes"),"")</f>
        <v>2</v>
      </c>
      <c r="B30" t="str">
        <f t="shared" si="1"/>
        <v>Yes</v>
      </c>
      <c r="C30" s="252" t="s">
        <v>59</v>
      </c>
      <c r="D30">
        <f>SUMIFS(Trades!$I$9:$I$59,Trades!$C$9:$C$59,$C30,Trades!$K$9:$K$59,"&lt;="&amp;D$2)-SUMIFS(Trades!$I$32:$I$59,Trades!$C$32:$C$59,$C30,Trades!$M$32:$M$59,"&lt;="&amp;D$2)</f>
        <v>0</v>
      </c>
      <c r="E30">
        <f>SUMIFS(Trades!$I$9:$I$59,Trades!$C$9:$C$59,$C30,Trades!$K$9:$K$59,"&lt;="&amp;E$2)-SUMIFS(Trades!$I$32:$I$59,Trades!$C$32:$C$59,$C30,Trades!$M$32:$M$59,"&lt;="&amp;E$2)</f>
        <v>0</v>
      </c>
      <c r="F30">
        <f>SUMIFS(Trades!$I$9:$I$59,Trades!$C$9:$C$59,$C30,Trades!$K$9:$K$59,"&lt;="&amp;F$2)-SUMIFS(Trades!$I$32:$I$59,Trades!$C$32:$C$59,$C30,Trades!$M$32:$M$59,"&lt;="&amp;F$2)</f>
        <v>4231</v>
      </c>
      <c r="G30">
        <f>SUMIFS(Trades!$I$9:$I$59,Trades!$C$9:$C$59,$C30,Trades!$K$9:$K$59,"&lt;="&amp;G$2)-SUMIFS(Trades!$I$32:$I$59,Trades!$C$32:$C$59,$C30,Trades!$M$32:$M$59,"&lt;="&amp;G$2)</f>
        <v>4231</v>
      </c>
      <c r="H30">
        <f>SUMIFS(Trades!$I$9:$I$59,Trades!$C$9:$C$59,$C30,Trades!$K$9:$K$59,"&lt;="&amp;H$2)-SUMIFS(Trades!$I$32:$I$59,Trades!$C$32:$C$59,$C30,Trades!$M$32:$M$59,"&lt;="&amp;H$2)</f>
        <v>4231</v>
      </c>
      <c r="I30">
        <f>SUMIFS(Trades!$I$9:$I$59,Trades!$C$9:$C$59,$C30,Trades!$K$9:$K$59,"&lt;="&amp;I$2)-SUMIFS(Trades!$I$32:$I$59,Trades!$C$32:$C$59,$C30,Trades!$M$32:$M$59,"&lt;="&amp;I$2)</f>
        <v>4231</v>
      </c>
      <c r="M30" t="str">
        <f t="shared" si="0"/>
        <v>No</v>
      </c>
      <c r="N30" s="252" t="s">
        <v>59</v>
      </c>
      <c r="O30" s="303">
        <f>SUMIFS(Trades!$O$9:$O$59,Trades!$C$9:$C$59,C30,Trades!$G$9:$G$59,"Buy")</f>
        <v>-198010.8</v>
      </c>
      <c r="P30" s="303">
        <f>SUMIFS(Trades!$I$9:$I$59,Trades!$C$9:$C$59,$C30,Trades!$G$9:$G$59,"Buy")</f>
        <v>4231</v>
      </c>
      <c r="Q30" s="62">
        <f t="shared" si="2"/>
        <v>46.8</v>
      </c>
      <c r="R30">
        <f>SUMIFS(Trades!$O$9:$O$59,Trades!$C$9:$C$59,$C30,Trades!$G$9:$G$59,"Sell")</f>
        <v>0</v>
      </c>
      <c r="S30">
        <f>SUMIFS(Trades!$I$9:$I$59,Trades!$C$9:$C$59,$C30,Trades!$G$9:$G$59,"Sell")</f>
        <v>0</v>
      </c>
      <c r="T30" t="str">
        <f t="shared" si="3"/>
        <v/>
      </c>
    </row>
    <row r="31" spans="1:20" x14ac:dyDescent="0.2">
      <c r="A31" s="1" t="str">
        <f>IF(B31="Yes",COUNTIF($B$3:B31,"Yes"),"")</f>
        <v/>
      </c>
      <c r="B31" t="str">
        <f t="shared" si="1"/>
        <v>No</v>
      </c>
      <c r="C31" s="252" t="s">
        <v>54</v>
      </c>
      <c r="D31">
        <f>SUMIFS(Trades!$I$9:$I$59,Trades!$C$9:$C$59,$C31,Trades!$K$9:$K$59,"&lt;="&amp;D$2)-SUMIFS(Trades!$I$32:$I$59,Trades!$C$32:$C$59,$C31,Trades!$M$32:$M$59,"&lt;="&amp;D$2)</f>
        <v>0</v>
      </c>
      <c r="E31">
        <f>SUMIFS(Trades!$I$9:$I$59,Trades!$C$9:$C$59,$C31,Trades!$K$9:$K$59,"&lt;="&amp;E$2)-SUMIFS(Trades!$I$32:$I$59,Trades!$C$32:$C$59,$C31,Trades!$M$32:$M$59,"&lt;="&amp;E$2)</f>
        <v>0</v>
      </c>
      <c r="F31">
        <f>SUMIFS(Trades!$I$9:$I$59,Trades!$C$9:$C$59,$C31,Trades!$K$9:$K$59,"&lt;="&amp;F$2)-SUMIFS(Trades!$I$32:$I$59,Trades!$C$32:$C$59,$C31,Trades!$M$32:$M$59,"&lt;="&amp;F$2)</f>
        <v>0</v>
      </c>
      <c r="G31">
        <f>SUMIFS(Trades!$I$9:$I$59,Trades!$C$9:$C$59,$C31,Trades!$K$9:$K$59,"&lt;="&amp;G$2)-SUMIFS(Trades!$I$32:$I$59,Trades!$C$32:$C$59,$C31,Trades!$M$32:$M$59,"&lt;="&amp;G$2)</f>
        <v>0</v>
      </c>
      <c r="H31">
        <f>SUMIFS(Trades!$I$9:$I$59,Trades!$C$9:$C$59,$C31,Trades!$K$9:$K$59,"&lt;="&amp;H$2)-SUMIFS(Trades!$I$32:$I$59,Trades!$C$32:$C$59,$C31,Trades!$M$32:$M$59,"&lt;="&amp;H$2)</f>
        <v>0</v>
      </c>
      <c r="I31">
        <f>SUMIFS(Trades!$I$9:$I$59,Trades!$C$9:$C$59,$C31,Trades!$K$9:$K$59,"&lt;="&amp;I$2)-SUMIFS(Trades!$I$32:$I$59,Trades!$C$32:$C$59,$C31,Trades!$M$32:$M$59,"&lt;="&amp;I$2)</f>
        <v>0</v>
      </c>
      <c r="M31" t="str">
        <f t="shared" si="0"/>
        <v>No</v>
      </c>
      <c r="N31" s="252" t="s">
        <v>54</v>
      </c>
      <c r="O31" s="303">
        <f>SUMIFS(Trades!$O$9:$O$59,Trades!$C$9:$C$59,C31,Trades!$G$9:$G$59,"Buy")</f>
        <v>0</v>
      </c>
      <c r="P31" s="303">
        <f>SUMIFS(Trades!$I$9:$I$59,Trades!$C$9:$C$59,$C31,Trades!$G$9:$G$59,"Buy")</f>
        <v>0</v>
      </c>
      <c r="Q31" s="62" t="str">
        <f t="shared" si="2"/>
        <v/>
      </c>
      <c r="R31">
        <f>SUMIFS(Trades!$O$9:$O$59,Trades!$C$9:$C$59,$C31,Trades!$G$9:$G$59,"Sell")</f>
        <v>0</v>
      </c>
      <c r="S31">
        <f>SUMIFS(Trades!$I$9:$I$59,Trades!$C$9:$C$59,$C31,Trades!$G$9:$G$59,"Sell")</f>
        <v>0</v>
      </c>
      <c r="T31" t="str">
        <f t="shared" si="3"/>
        <v/>
      </c>
    </row>
    <row r="32" spans="1:20" x14ac:dyDescent="0.2">
      <c r="A32" s="1" t="str">
        <f>IF(B32="Yes",COUNTIF($B$3:B32,"Yes"),"")</f>
        <v/>
      </c>
      <c r="B32" t="str">
        <f t="shared" si="1"/>
        <v>No</v>
      </c>
      <c r="C32" s="252" t="s">
        <v>110</v>
      </c>
      <c r="D32">
        <f>SUMIFS(Trades!$I$9:$I$59,Trades!$C$9:$C$59,$C32,Trades!$K$9:$K$59,"&lt;="&amp;D$2)-SUMIFS(Trades!$I$32:$I$59,Trades!$C$32:$C$59,$C32,Trades!$M$32:$M$59,"&lt;="&amp;D$2)</f>
        <v>0</v>
      </c>
      <c r="E32">
        <f>SUMIFS(Trades!$I$9:$I$59,Trades!$C$9:$C$59,$C32,Trades!$K$9:$K$59,"&lt;="&amp;E$2)-SUMIFS(Trades!$I$32:$I$59,Trades!$C$32:$C$59,$C32,Trades!$M$32:$M$59,"&lt;="&amp;E$2)</f>
        <v>0</v>
      </c>
      <c r="F32">
        <f>SUMIFS(Trades!$I$9:$I$59,Trades!$C$9:$C$59,$C32,Trades!$K$9:$K$59,"&lt;="&amp;F$2)-SUMIFS(Trades!$I$32:$I$59,Trades!$C$32:$C$59,$C32,Trades!$M$32:$M$59,"&lt;="&amp;F$2)</f>
        <v>0</v>
      </c>
      <c r="G32">
        <f>SUMIFS(Trades!$I$9:$I$59,Trades!$C$9:$C$59,$C32,Trades!$K$9:$K$59,"&lt;="&amp;G$2)-SUMIFS(Trades!$I$32:$I$59,Trades!$C$32:$C$59,$C32,Trades!$M$32:$M$59,"&lt;="&amp;G$2)</f>
        <v>0</v>
      </c>
      <c r="H32">
        <f>SUMIFS(Trades!$I$9:$I$59,Trades!$C$9:$C$59,$C32,Trades!$K$9:$K$59,"&lt;="&amp;H$2)-SUMIFS(Trades!$I$32:$I$59,Trades!$C$32:$C$59,$C32,Trades!$M$32:$M$59,"&lt;="&amp;H$2)</f>
        <v>0</v>
      </c>
      <c r="I32">
        <f>SUMIFS(Trades!$I$9:$I$59,Trades!$C$9:$C$59,$C32,Trades!$K$9:$K$59,"&lt;="&amp;I$2)-SUMIFS(Trades!$I$32:$I$59,Trades!$C$32:$C$59,$C32,Trades!$M$32:$M$59,"&lt;="&amp;I$2)</f>
        <v>0</v>
      </c>
      <c r="M32" t="str">
        <f t="shared" si="0"/>
        <v>No</v>
      </c>
      <c r="N32" s="252" t="s">
        <v>110</v>
      </c>
      <c r="O32" s="303">
        <f>SUMIFS(Trades!$O$9:$O$59,Trades!$C$9:$C$59,C32,Trades!$G$9:$G$59,"Buy")</f>
        <v>0</v>
      </c>
      <c r="P32" s="303">
        <f>SUMIFS(Trades!$I$9:$I$59,Trades!$C$9:$C$59,$C32,Trades!$G$9:$G$59,"Buy")</f>
        <v>0</v>
      </c>
      <c r="Q32" s="62" t="str">
        <f t="shared" si="2"/>
        <v/>
      </c>
      <c r="R32">
        <f>SUMIFS(Trades!$O$9:$O$59,Trades!$C$9:$C$59,$C32,Trades!$G$9:$G$59,"Sell")</f>
        <v>0</v>
      </c>
      <c r="S32">
        <f>SUMIFS(Trades!$I$9:$I$59,Trades!$C$9:$C$59,$C32,Trades!$G$9:$G$59,"Sell")</f>
        <v>0</v>
      </c>
      <c r="T32" t="str">
        <f t="shared" si="3"/>
        <v/>
      </c>
    </row>
    <row r="33" spans="1:20" x14ac:dyDescent="0.2">
      <c r="A33" s="1">
        <f>IF(B33="Yes",COUNTIF($B$3:B33,"Yes"),"")</f>
        <v>3</v>
      </c>
      <c r="B33" t="str">
        <f t="shared" si="1"/>
        <v>Yes</v>
      </c>
      <c r="C33" s="252" t="s">
        <v>45</v>
      </c>
      <c r="D33">
        <f>SUMIFS(Trades!$I$9:$I$59,Trades!$C$9:$C$59,$C33,Trades!$K$9:$K$59,"&lt;="&amp;D$2)-SUMIFS(Trades!$I$32:$I$59,Trades!$C$32:$C$59,$C33,Trades!$M$32:$M$59,"&lt;="&amp;D$2)</f>
        <v>0</v>
      </c>
      <c r="E33">
        <f>SUMIFS(Trades!$I$9:$I$59,Trades!$C$9:$C$59,$C33,Trades!$K$9:$K$59,"&lt;="&amp;E$2)-SUMIFS(Trades!$I$32:$I$59,Trades!$C$32:$C$59,$C33,Trades!$M$32:$M$59,"&lt;="&amp;E$2)</f>
        <v>21014</v>
      </c>
      <c r="F33">
        <f>SUMIFS(Trades!$I$9:$I$59,Trades!$C$9:$C$59,$C33,Trades!$K$9:$K$59,"&lt;="&amp;F$2)-SUMIFS(Trades!$I$32:$I$59,Trades!$C$32:$C$59,$C33,Trades!$M$32:$M$59,"&lt;="&amp;F$2)</f>
        <v>21014</v>
      </c>
      <c r="G33">
        <f>SUMIFS(Trades!$I$9:$I$59,Trades!$C$9:$C$59,$C33,Trades!$K$9:$K$59,"&lt;="&amp;G$2)-SUMIFS(Trades!$I$32:$I$59,Trades!$C$32:$C$59,$C33,Trades!$M$32:$M$59,"&lt;="&amp;G$2)</f>
        <v>21014</v>
      </c>
      <c r="H33">
        <f>SUMIFS(Trades!$I$9:$I$59,Trades!$C$9:$C$59,$C33,Trades!$K$9:$K$59,"&lt;="&amp;H$2)-SUMIFS(Trades!$I$32:$I$59,Trades!$C$32:$C$59,$C33,Trades!$M$32:$M$59,"&lt;="&amp;H$2)</f>
        <v>21014</v>
      </c>
      <c r="I33">
        <f>SUMIFS(Trades!$I$9:$I$59,Trades!$C$9:$C$59,$C33,Trades!$K$9:$K$59,"&lt;="&amp;I$2)-SUMIFS(Trades!$I$32:$I$59,Trades!$C$32:$C$59,$C33,Trades!$M$32:$M$59,"&lt;="&amp;I$2)</f>
        <v>21014</v>
      </c>
      <c r="M33" t="str">
        <f t="shared" si="0"/>
        <v>No</v>
      </c>
      <c r="N33" s="252" t="s">
        <v>45</v>
      </c>
      <c r="O33" s="303">
        <f>SUMIFS(Trades!$O$9:$O$59,Trades!$C$9:$C$59,C33,Trades!$G$9:$G$59,"Buy")</f>
        <v>-340006.52</v>
      </c>
      <c r="P33" s="303">
        <f>SUMIFS(Trades!$I$9:$I$59,Trades!$C$9:$C$59,$C33,Trades!$G$9:$G$59,"Buy")</f>
        <v>21014</v>
      </c>
      <c r="Q33" s="62">
        <f t="shared" si="2"/>
        <v>16.18</v>
      </c>
      <c r="R33">
        <f>SUMIFS(Trades!$O$9:$O$59,Trades!$C$9:$C$59,$C33,Trades!$G$9:$G$59,"Sell")</f>
        <v>0</v>
      </c>
      <c r="S33">
        <f>SUMIFS(Trades!$I$9:$I$59,Trades!$C$9:$C$59,$C33,Trades!$G$9:$G$59,"Sell")</f>
        <v>0</v>
      </c>
      <c r="T33" t="str">
        <f t="shared" si="3"/>
        <v/>
      </c>
    </row>
    <row r="34" spans="1:20" x14ac:dyDescent="0.2">
      <c r="A34" s="1" t="str">
        <f>IF(B34="Yes",COUNTIF($B$3:B34,"Yes"),"")</f>
        <v/>
      </c>
      <c r="B34" t="str">
        <f t="shared" si="1"/>
        <v>No</v>
      </c>
      <c r="C34" s="252" t="s">
        <v>104</v>
      </c>
      <c r="D34">
        <f>SUMIFS(Trades!$I$9:$I$59,Trades!$C$9:$C$59,$C34,Trades!$K$9:$K$59,"&lt;="&amp;D$2)-SUMIFS(Trades!$I$32:$I$59,Trades!$C$32:$C$59,$C34,Trades!$M$32:$M$59,"&lt;="&amp;D$2)</f>
        <v>0</v>
      </c>
      <c r="E34">
        <f>SUMIFS(Trades!$I$9:$I$59,Trades!$C$9:$C$59,$C34,Trades!$K$9:$K$59,"&lt;="&amp;E$2)-SUMIFS(Trades!$I$32:$I$59,Trades!$C$32:$C$59,$C34,Trades!$M$32:$M$59,"&lt;="&amp;E$2)</f>
        <v>0</v>
      </c>
      <c r="F34">
        <f>SUMIFS(Trades!$I$9:$I$59,Trades!$C$9:$C$59,$C34,Trades!$K$9:$K$59,"&lt;="&amp;F$2)-SUMIFS(Trades!$I$32:$I$59,Trades!$C$32:$C$59,$C34,Trades!$M$32:$M$59,"&lt;="&amp;F$2)</f>
        <v>0</v>
      </c>
      <c r="G34">
        <f>SUMIFS(Trades!$I$9:$I$59,Trades!$C$9:$C$59,$C34,Trades!$K$9:$K$59,"&lt;="&amp;G$2)-SUMIFS(Trades!$I$32:$I$59,Trades!$C$32:$C$59,$C34,Trades!$M$32:$M$59,"&lt;="&amp;G$2)</f>
        <v>0</v>
      </c>
      <c r="H34">
        <f>SUMIFS(Trades!$I$9:$I$59,Trades!$C$9:$C$59,$C34,Trades!$K$9:$K$59,"&lt;="&amp;H$2)-SUMIFS(Trades!$I$32:$I$59,Trades!$C$32:$C$59,$C34,Trades!$M$32:$M$59,"&lt;="&amp;H$2)</f>
        <v>0</v>
      </c>
      <c r="I34">
        <f>SUMIFS(Trades!$I$9:$I$59,Trades!$C$9:$C$59,$C34,Trades!$K$9:$K$59,"&lt;="&amp;I$2)-SUMIFS(Trades!$I$32:$I$59,Trades!$C$32:$C$59,$C34,Trades!$M$32:$M$59,"&lt;="&amp;I$2)</f>
        <v>0</v>
      </c>
      <c r="M34" t="str">
        <f t="shared" si="0"/>
        <v>No</v>
      </c>
      <c r="N34" s="252" t="s">
        <v>104</v>
      </c>
      <c r="O34" s="303">
        <f>SUMIFS(Trades!$O$9:$O$59,Trades!$C$9:$C$59,C34,Trades!$G$9:$G$59,"Buy")</f>
        <v>0</v>
      </c>
      <c r="P34" s="303">
        <f>SUMIFS(Trades!$I$9:$I$59,Trades!$C$9:$C$59,$C34,Trades!$G$9:$G$59,"Buy")</f>
        <v>0</v>
      </c>
      <c r="Q34" s="62" t="str">
        <f t="shared" si="2"/>
        <v/>
      </c>
      <c r="R34">
        <f>SUMIFS(Trades!$O$9:$O$59,Trades!$C$9:$C$59,$C34,Trades!$G$9:$G$59,"Sell")</f>
        <v>0</v>
      </c>
      <c r="S34">
        <f>SUMIFS(Trades!$I$9:$I$59,Trades!$C$9:$C$59,$C34,Trades!$G$9:$G$59,"Sell")</f>
        <v>0</v>
      </c>
      <c r="T34" t="str">
        <f t="shared" si="3"/>
        <v/>
      </c>
    </row>
    <row r="35" spans="1:20" x14ac:dyDescent="0.2">
      <c r="A35" s="1" t="str">
        <f>IF(B35="Yes",COUNTIF($B$3:B35,"Yes"),"")</f>
        <v/>
      </c>
      <c r="B35" t="str">
        <f t="shared" si="1"/>
        <v>No</v>
      </c>
      <c r="C35" s="252" t="s">
        <v>80</v>
      </c>
      <c r="D35">
        <f>SUMIFS(Trades!$I$9:$I$59,Trades!$C$9:$C$59,$C35,Trades!$K$9:$K$59,"&lt;="&amp;D$2)-SUMIFS(Trades!$I$32:$I$59,Trades!$C$32:$C$59,$C35,Trades!$M$32:$M$59,"&lt;="&amp;D$2)</f>
        <v>0</v>
      </c>
      <c r="E35">
        <f>SUMIFS(Trades!$I$9:$I$59,Trades!$C$9:$C$59,$C35,Trades!$K$9:$K$59,"&lt;="&amp;E$2)-SUMIFS(Trades!$I$32:$I$59,Trades!$C$32:$C$59,$C35,Trades!$M$32:$M$59,"&lt;="&amp;E$2)</f>
        <v>0</v>
      </c>
      <c r="F35">
        <f>SUMIFS(Trades!$I$9:$I$59,Trades!$C$9:$C$59,$C35,Trades!$K$9:$K$59,"&lt;="&amp;F$2)-SUMIFS(Trades!$I$32:$I$59,Trades!$C$32:$C$59,$C35,Trades!$M$32:$M$59,"&lt;="&amp;F$2)</f>
        <v>0</v>
      </c>
      <c r="G35">
        <f>SUMIFS(Trades!$I$9:$I$59,Trades!$C$9:$C$59,$C35,Trades!$K$9:$K$59,"&lt;="&amp;G$2)-SUMIFS(Trades!$I$32:$I$59,Trades!$C$32:$C$59,$C35,Trades!$M$32:$M$59,"&lt;="&amp;G$2)</f>
        <v>0</v>
      </c>
      <c r="H35">
        <f>SUMIFS(Trades!$I$9:$I$59,Trades!$C$9:$C$59,$C35,Trades!$K$9:$K$59,"&lt;="&amp;H$2)-SUMIFS(Trades!$I$32:$I$59,Trades!$C$32:$C$59,$C35,Trades!$M$32:$M$59,"&lt;="&amp;H$2)</f>
        <v>0</v>
      </c>
      <c r="I35">
        <f>SUMIFS(Trades!$I$9:$I$59,Trades!$C$9:$C$59,$C35,Trades!$K$9:$K$59,"&lt;="&amp;I$2)-SUMIFS(Trades!$I$32:$I$59,Trades!$C$32:$C$59,$C35,Trades!$M$32:$M$59,"&lt;="&amp;I$2)</f>
        <v>0</v>
      </c>
      <c r="M35" t="str">
        <f t="shared" ref="M35:M69" si="4">IF(SUM(O35:O35)&gt;0,"Yes","No")</f>
        <v>No</v>
      </c>
      <c r="N35" s="252" t="s">
        <v>80</v>
      </c>
      <c r="O35" s="303">
        <f>SUMIFS(Trades!$O$9:$O$59,Trades!$C$9:$C$59,C35,Trades!$G$9:$G$59,"Buy")</f>
        <v>0</v>
      </c>
      <c r="P35" s="303">
        <f>SUMIFS(Trades!$I$9:$I$59,Trades!$C$9:$C$59,$C35,Trades!$G$9:$G$59,"Buy")</f>
        <v>0</v>
      </c>
      <c r="Q35" s="62" t="str">
        <f t="shared" si="2"/>
        <v/>
      </c>
      <c r="R35">
        <f>SUMIFS(Trades!$O$9:$O$59,Trades!$C$9:$C$59,$C35,Trades!$G$9:$G$59,"Sell")</f>
        <v>0</v>
      </c>
      <c r="S35">
        <f>SUMIFS(Trades!$I$9:$I$59,Trades!$C$9:$C$59,$C35,Trades!$G$9:$G$59,"Sell")</f>
        <v>0</v>
      </c>
      <c r="T35" t="str">
        <f t="shared" si="3"/>
        <v/>
      </c>
    </row>
    <row r="36" spans="1:20" x14ac:dyDescent="0.2">
      <c r="A36" s="1" t="str">
        <f>IF(B36="Yes",COUNTIF($B$3:B36,"Yes"),"")</f>
        <v/>
      </c>
      <c r="B36" t="str">
        <f t="shared" si="1"/>
        <v>No</v>
      </c>
      <c r="C36" s="252" t="s">
        <v>74</v>
      </c>
      <c r="D36">
        <f>SUMIFS(Trades!$I$9:$I$59,Trades!$C$9:$C$59,$C36,Trades!$K$9:$K$59,"&lt;="&amp;D$2)-SUMIFS(Trades!$I$32:$I$59,Trades!$C$32:$C$59,$C36,Trades!$M$32:$M$59,"&lt;="&amp;D$2)</f>
        <v>0</v>
      </c>
      <c r="E36">
        <f>SUMIFS(Trades!$I$9:$I$59,Trades!$C$9:$C$59,$C36,Trades!$K$9:$K$59,"&lt;="&amp;E$2)-SUMIFS(Trades!$I$32:$I$59,Trades!$C$32:$C$59,$C36,Trades!$M$32:$M$59,"&lt;="&amp;E$2)</f>
        <v>0</v>
      </c>
      <c r="F36">
        <f>SUMIFS(Trades!$I$9:$I$59,Trades!$C$9:$C$59,$C36,Trades!$K$9:$K$59,"&lt;="&amp;F$2)-SUMIFS(Trades!$I$32:$I$59,Trades!$C$32:$C$59,$C36,Trades!$M$32:$M$59,"&lt;="&amp;F$2)</f>
        <v>0</v>
      </c>
      <c r="G36">
        <f>SUMIFS(Trades!$I$9:$I$59,Trades!$C$9:$C$59,$C36,Trades!$K$9:$K$59,"&lt;="&amp;G$2)-SUMIFS(Trades!$I$32:$I$59,Trades!$C$32:$C$59,$C36,Trades!$M$32:$M$59,"&lt;="&amp;G$2)</f>
        <v>0</v>
      </c>
      <c r="H36">
        <f>SUMIFS(Trades!$I$9:$I$59,Trades!$C$9:$C$59,$C36,Trades!$K$9:$K$59,"&lt;="&amp;H$2)-SUMIFS(Trades!$I$32:$I$59,Trades!$C$32:$C$59,$C36,Trades!$M$32:$M$59,"&lt;="&amp;H$2)</f>
        <v>0</v>
      </c>
      <c r="I36">
        <f>SUMIFS(Trades!$I$9:$I$59,Trades!$C$9:$C$59,$C36,Trades!$K$9:$K$59,"&lt;="&amp;I$2)-SUMIFS(Trades!$I$32:$I$59,Trades!$C$32:$C$59,$C36,Trades!$M$32:$M$59,"&lt;="&amp;I$2)</f>
        <v>0</v>
      </c>
      <c r="M36" t="str">
        <f t="shared" si="4"/>
        <v>No</v>
      </c>
      <c r="N36" s="252" t="s">
        <v>74</v>
      </c>
      <c r="O36" s="303">
        <f>SUMIFS(Trades!$O$9:$O$59,Trades!$C$9:$C$59,C36,Trades!$G$9:$G$59,"Buy")</f>
        <v>0</v>
      </c>
      <c r="P36" s="303">
        <f>SUMIFS(Trades!$I$9:$I$59,Trades!$C$9:$C$59,$C36,Trades!$G$9:$G$59,"Buy")</f>
        <v>0</v>
      </c>
      <c r="Q36" s="62" t="str">
        <f t="shared" si="2"/>
        <v/>
      </c>
      <c r="R36">
        <f>SUMIFS(Trades!$O$9:$O$59,Trades!$C$9:$C$59,$C36,Trades!$G$9:$G$59,"Sell")</f>
        <v>0</v>
      </c>
      <c r="S36">
        <f>SUMIFS(Trades!$I$9:$I$59,Trades!$C$9:$C$59,$C36,Trades!$G$9:$G$59,"Sell")</f>
        <v>0</v>
      </c>
      <c r="T36" t="str">
        <f t="shared" si="3"/>
        <v/>
      </c>
    </row>
    <row r="37" spans="1:20" x14ac:dyDescent="0.2">
      <c r="A37" s="1" t="str">
        <f>IF(B37="Yes",COUNTIF($B$3:B37,"Yes"),"")</f>
        <v/>
      </c>
      <c r="B37" t="str">
        <f t="shared" si="1"/>
        <v>No</v>
      </c>
      <c r="C37" s="252" t="s">
        <v>77</v>
      </c>
      <c r="D37">
        <f>SUMIFS(Trades!$I$9:$I$59,Trades!$C$9:$C$59,$C37,Trades!$K$9:$K$59,"&lt;="&amp;D$2)-SUMIFS(Trades!$I$32:$I$59,Trades!$C$32:$C$59,$C37,Trades!$M$32:$M$59,"&lt;="&amp;D$2)</f>
        <v>0</v>
      </c>
      <c r="E37">
        <f>SUMIFS(Trades!$I$9:$I$59,Trades!$C$9:$C$59,$C37,Trades!$K$9:$K$59,"&lt;="&amp;E$2)-SUMIFS(Trades!$I$32:$I$59,Trades!$C$32:$C$59,$C37,Trades!$M$32:$M$59,"&lt;="&amp;E$2)</f>
        <v>0</v>
      </c>
      <c r="F37">
        <f>SUMIFS(Trades!$I$9:$I$59,Trades!$C$9:$C$59,$C37,Trades!$K$9:$K$59,"&lt;="&amp;F$2)-SUMIFS(Trades!$I$32:$I$59,Trades!$C$32:$C$59,$C37,Trades!$M$32:$M$59,"&lt;="&amp;F$2)</f>
        <v>0</v>
      </c>
      <c r="G37">
        <f>SUMIFS(Trades!$I$9:$I$59,Trades!$C$9:$C$59,$C37,Trades!$K$9:$K$59,"&lt;="&amp;G$2)-SUMIFS(Trades!$I$32:$I$59,Trades!$C$32:$C$59,$C37,Trades!$M$32:$M$59,"&lt;="&amp;G$2)</f>
        <v>0</v>
      </c>
      <c r="H37">
        <f>SUMIFS(Trades!$I$9:$I$59,Trades!$C$9:$C$59,$C37,Trades!$K$9:$K$59,"&lt;="&amp;H$2)-SUMIFS(Trades!$I$32:$I$59,Trades!$C$32:$C$59,$C37,Trades!$M$32:$M$59,"&lt;="&amp;H$2)</f>
        <v>0</v>
      </c>
      <c r="I37">
        <f>SUMIFS(Trades!$I$9:$I$59,Trades!$C$9:$C$59,$C37,Trades!$K$9:$K$59,"&lt;="&amp;I$2)-SUMIFS(Trades!$I$32:$I$59,Trades!$C$32:$C$59,$C37,Trades!$M$32:$M$59,"&lt;="&amp;I$2)</f>
        <v>0</v>
      </c>
      <c r="M37" t="str">
        <f t="shared" si="4"/>
        <v>No</v>
      </c>
      <c r="N37" s="252" t="s">
        <v>77</v>
      </c>
      <c r="O37" s="303">
        <f>SUMIFS(Trades!$O$9:$O$59,Trades!$C$9:$C$59,C37,Trades!$G$9:$G$59,"Buy")</f>
        <v>0</v>
      </c>
      <c r="P37" s="303">
        <f>SUMIFS(Trades!$I$9:$I$59,Trades!$C$9:$C$59,$C37,Trades!$G$9:$G$59,"Buy")</f>
        <v>0</v>
      </c>
      <c r="Q37" s="62" t="str">
        <f t="shared" si="2"/>
        <v/>
      </c>
      <c r="R37">
        <f>SUMIFS(Trades!$O$9:$O$59,Trades!$C$9:$C$59,$C37,Trades!$G$9:$G$59,"Sell")</f>
        <v>0</v>
      </c>
      <c r="S37">
        <f>SUMIFS(Trades!$I$9:$I$59,Trades!$C$9:$C$59,$C37,Trades!$G$9:$G$59,"Sell")</f>
        <v>0</v>
      </c>
      <c r="T37" t="str">
        <f t="shared" si="3"/>
        <v/>
      </c>
    </row>
    <row r="38" spans="1:20" x14ac:dyDescent="0.2">
      <c r="A38" s="1" t="str">
        <f>IF(B38="Yes",COUNTIF($B$3:B38,"Yes"),"")</f>
        <v/>
      </c>
      <c r="B38" t="str">
        <f t="shared" si="1"/>
        <v>No</v>
      </c>
      <c r="C38" s="252" t="s">
        <v>76</v>
      </c>
      <c r="D38">
        <f>SUMIFS(Trades!$I$9:$I$59,Trades!$C$9:$C$59,$C38,Trades!$K$9:$K$59,"&lt;="&amp;D$2)-SUMIFS(Trades!$I$32:$I$59,Trades!$C$32:$C$59,$C38,Trades!$M$32:$M$59,"&lt;="&amp;D$2)</f>
        <v>0</v>
      </c>
      <c r="E38">
        <f>SUMIFS(Trades!$I$9:$I$59,Trades!$C$9:$C$59,$C38,Trades!$K$9:$K$59,"&lt;="&amp;E$2)-SUMIFS(Trades!$I$32:$I$59,Trades!$C$32:$C$59,$C38,Trades!$M$32:$M$59,"&lt;="&amp;E$2)</f>
        <v>0</v>
      </c>
      <c r="F38">
        <f>SUMIFS(Trades!$I$9:$I$59,Trades!$C$9:$C$59,$C38,Trades!$K$9:$K$59,"&lt;="&amp;F$2)-SUMIFS(Trades!$I$32:$I$59,Trades!$C$32:$C$59,$C38,Trades!$M$32:$M$59,"&lt;="&amp;F$2)</f>
        <v>0</v>
      </c>
      <c r="G38">
        <f>SUMIFS(Trades!$I$9:$I$59,Trades!$C$9:$C$59,$C38,Trades!$K$9:$K$59,"&lt;="&amp;G$2)-SUMIFS(Trades!$I$32:$I$59,Trades!$C$32:$C$59,$C38,Trades!$M$32:$M$59,"&lt;="&amp;G$2)</f>
        <v>0</v>
      </c>
      <c r="H38">
        <f>SUMIFS(Trades!$I$9:$I$59,Trades!$C$9:$C$59,$C38,Trades!$K$9:$K$59,"&lt;="&amp;H$2)-SUMIFS(Trades!$I$32:$I$59,Trades!$C$32:$C$59,$C38,Trades!$M$32:$M$59,"&lt;="&amp;H$2)</f>
        <v>0</v>
      </c>
      <c r="I38">
        <f>SUMIFS(Trades!$I$9:$I$59,Trades!$C$9:$C$59,$C38,Trades!$K$9:$K$59,"&lt;="&amp;I$2)-SUMIFS(Trades!$I$32:$I$59,Trades!$C$32:$C$59,$C38,Trades!$M$32:$M$59,"&lt;="&amp;I$2)</f>
        <v>0</v>
      </c>
      <c r="M38" t="str">
        <f t="shared" si="4"/>
        <v>No</v>
      </c>
      <c r="N38" s="252" t="s">
        <v>76</v>
      </c>
      <c r="O38" s="303">
        <f>SUMIFS(Trades!$O$9:$O$59,Trades!$C$9:$C$59,C38,Trades!$G$9:$G$59,"Buy")</f>
        <v>0</v>
      </c>
      <c r="P38" s="303">
        <f>SUMIFS(Trades!$I$9:$I$59,Trades!$C$9:$C$59,$C38,Trades!$G$9:$G$59,"Buy")</f>
        <v>0</v>
      </c>
      <c r="Q38" s="62" t="str">
        <f t="shared" si="2"/>
        <v/>
      </c>
      <c r="R38">
        <f>SUMIFS(Trades!$O$9:$O$59,Trades!$C$9:$C$59,$C38,Trades!$G$9:$G$59,"Sell")</f>
        <v>0</v>
      </c>
      <c r="S38">
        <f>SUMIFS(Trades!$I$9:$I$59,Trades!$C$9:$C$59,$C38,Trades!$G$9:$G$59,"Sell")</f>
        <v>0</v>
      </c>
      <c r="T38" t="str">
        <f t="shared" si="3"/>
        <v/>
      </c>
    </row>
    <row r="39" spans="1:20" x14ac:dyDescent="0.2">
      <c r="A39" s="1" t="str">
        <f>IF(B39="Yes",COUNTIF($B$3:B39,"Yes"),"")</f>
        <v/>
      </c>
      <c r="B39" t="str">
        <f t="shared" si="1"/>
        <v>No</v>
      </c>
      <c r="C39" s="252" t="s">
        <v>89</v>
      </c>
      <c r="D39">
        <f>SUMIFS(Trades!$I$9:$I$59,Trades!$C$9:$C$59,$C39,Trades!$K$9:$K$59,"&lt;="&amp;D$2)-SUMIFS(Trades!$I$32:$I$59,Trades!$C$32:$C$59,$C39,Trades!$M$32:$M$59,"&lt;="&amp;D$2)</f>
        <v>0</v>
      </c>
      <c r="E39">
        <f>SUMIFS(Trades!$I$9:$I$59,Trades!$C$9:$C$59,$C39,Trades!$K$9:$K$59,"&lt;="&amp;E$2)-SUMIFS(Trades!$I$32:$I$59,Trades!$C$32:$C$59,$C39,Trades!$M$32:$M$59,"&lt;="&amp;E$2)</f>
        <v>0</v>
      </c>
      <c r="F39">
        <f>SUMIFS(Trades!$I$9:$I$59,Trades!$C$9:$C$59,$C39,Trades!$K$9:$K$59,"&lt;="&amp;F$2)-SUMIFS(Trades!$I$32:$I$59,Trades!$C$32:$C$59,$C39,Trades!$M$32:$M$59,"&lt;="&amp;F$2)</f>
        <v>0</v>
      </c>
      <c r="G39">
        <f>SUMIFS(Trades!$I$9:$I$59,Trades!$C$9:$C$59,$C39,Trades!$K$9:$K$59,"&lt;="&amp;G$2)-SUMIFS(Trades!$I$32:$I$59,Trades!$C$32:$C$59,$C39,Trades!$M$32:$M$59,"&lt;="&amp;G$2)</f>
        <v>0</v>
      </c>
      <c r="H39">
        <f>SUMIFS(Trades!$I$9:$I$59,Trades!$C$9:$C$59,$C39,Trades!$K$9:$K$59,"&lt;="&amp;H$2)-SUMIFS(Trades!$I$32:$I$59,Trades!$C$32:$C$59,$C39,Trades!$M$32:$M$59,"&lt;="&amp;H$2)</f>
        <v>0</v>
      </c>
      <c r="I39">
        <f>SUMIFS(Trades!$I$9:$I$59,Trades!$C$9:$C$59,$C39,Trades!$K$9:$K$59,"&lt;="&amp;I$2)-SUMIFS(Trades!$I$32:$I$59,Trades!$C$32:$C$59,$C39,Trades!$M$32:$M$59,"&lt;="&amp;I$2)</f>
        <v>0</v>
      </c>
      <c r="M39" t="str">
        <f t="shared" si="4"/>
        <v>No</v>
      </c>
      <c r="N39" s="252" t="s">
        <v>89</v>
      </c>
      <c r="O39" s="303">
        <f>SUMIFS(Trades!$O$9:$O$59,Trades!$C$9:$C$59,C39,Trades!$G$9:$G$59,"Buy")</f>
        <v>0</v>
      </c>
      <c r="P39" s="303">
        <f>SUMIFS(Trades!$I$9:$I$59,Trades!$C$9:$C$59,$C39,Trades!$G$9:$G$59,"Buy")</f>
        <v>0</v>
      </c>
      <c r="Q39" s="62" t="str">
        <f t="shared" si="2"/>
        <v/>
      </c>
      <c r="R39">
        <f>SUMIFS(Trades!$O$9:$O$59,Trades!$C$9:$C$59,$C39,Trades!$G$9:$G$59,"Sell")</f>
        <v>0</v>
      </c>
      <c r="S39">
        <f>SUMIFS(Trades!$I$9:$I$59,Trades!$C$9:$C$59,$C39,Trades!$G$9:$G$59,"Sell")</f>
        <v>0</v>
      </c>
      <c r="T39" t="str">
        <f t="shared" si="3"/>
        <v/>
      </c>
    </row>
    <row r="40" spans="1:20" x14ac:dyDescent="0.2">
      <c r="A40" s="1" t="str">
        <f>IF(B40="Yes",COUNTIF($B$3:B40,"Yes"),"")</f>
        <v/>
      </c>
      <c r="B40" t="str">
        <f t="shared" si="1"/>
        <v>No</v>
      </c>
      <c r="C40" s="252" t="s">
        <v>88</v>
      </c>
      <c r="D40">
        <f>SUMIFS(Trades!$I$9:$I$59,Trades!$C$9:$C$59,$C40,Trades!$K$9:$K$59,"&lt;="&amp;D$2)-SUMIFS(Trades!$I$32:$I$59,Trades!$C$32:$C$59,$C40,Trades!$M$32:$M$59,"&lt;="&amp;D$2)</f>
        <v>0</v>
      </c>
      <c r="E40">
        <f>SUMIFS(Trades!$I$9:$I$59,Trades!$C$9:$C$59,$C40,Trades!$K$9:$K$59,"&lt;="&amp;E$2)-SUMIFS(Trades!$I$32:$I$59,Trades!$C$32:$C$59,$C40,Trades!$M$32:$M$59,"&lt;="&amp;E$2)</f>
        <v>0</v>
      </c>
      <c r="F40">
        <f>SUMIFS(Trades!$I$9:$I$59,Trades!$C$9:$C$59,$C40,Trades!$K$9:$K$59,"&lt;="&amp;F$2)-SUMIFS(Trades!$I$32:$I$59,Trades!$C$32:$C$59,$C40,Trades!$M$32:$M$59,"&lt;="&amp;F$2)</f>
        <v>0</v>
      </c>
      <c r="G40">
        <f>SUMIFS(Trades!$I$9:$I$59,Trades!$C$9:$C$59,$C40,Trades!$K$9:$K$59,"&lt;="&amp;G$2)-SUMIFS(Trades!$I$32:$I$59,Trades!$C$32:$C$59,$C40,Trades!$M$32:$M$59,"&lt;="&amp;G$2)</f>
        <v>0</v>
      </c>
      <c r="H40">
        <f>SUMIFS(Trades!$I$9:$I$59,Trades!$C$9:$C$59,$C40,Trades!$K$9:$K$59,"&lt;="&amp;H$2)-SUMIFS(Trades!$I$32:$I$59,Trades!$C$32:$C$59,$C40,Trades!$M$32:$M$59,"&lt;="&amp;H$2)</f>
        <v>0</v>
      </c>
      <c r="I40">
        <f>SUMIFS(Trades!$I$9:$I$59,Trades!$C$9:$C$59,$C40,Trades!$K$9:$K$59,"&lt;="&amp;I$2)-SUMIFS(Trades!$I$32:$I$59,Trades!$C$32:$C$59,$C40,Trades!$M$32:$M$59,"&lt;="&amp;I$2)</f>
        <v>0</v>
      </c>
      <c r="M40" t="str">
        <f t="shared" si="4"/>
        <v>No</v>
      </c>
      <c r="N40" s="252" t="s">
        <v>88</v>
      </c>
      <c r="O40" s="303">
        <f>SUMIFS(Trades!$O$9:$O$59,Trades!$C$9:$C$59,C40,Trades!$G$9:$G$59,"Buy")</f>
        <v>0</v>
      </c>
      <c r="P40" s="303">
        <f>SUMIFS(Trades!$I$9:$I$59,Trades!$C$9:$C$59,$C40,Trades!$G$9:$G$59,"Buy")</f>
        <v>0</v>
      </c>
      <c r="Q40" s="62" t="str">
        <f t="shared" si="2"/>
        <v/>
      </c>
      <c r="R40">
        <f>SUMIFS(Trades!$O$9:$O$59,Trades!$C$9:$C$59,$C40,Trades!$G$9:$G$59,"Sell")</f>
        <v>0</v>
      </c>
      <c r="S40">
        <f>SUMIFS(Trades!$I$9:$I$59,Trades!$C$9:$C$59,$C40,Trades!$G$9:$G$59,"Sell")</f>
        <v>0</v>
      </c>
      <c r="T40" t="str">
        <f t="shared" si="3"/>
        <v/>
      </c>
    </row>
    <row r="41" spans="1:20" x14ac:dyDescent="0.2">
      <c r="A41" s="1" t="str">
        <f>IF(B41="Yes",COUNTIF($B$3:B41,"Yes"),"")</f>
        <v/>
      </c>
      <c r="B41" t="str">
        <f t="shared" si="1"/>
        <v>No</v>
      </c>
      <c r="C41" s="252" t="s">
        <v>87</v>
      </c>
      <c r="D41">
        <f>SUMIFS(Trades!$I$9:$I$59,Trades!$C$9:$C$59,$C41,Trades!$K$9:$K$59,"&lt;="&amp;D$2)-SUMIFS(Trades!$I$32:$I$59,Trades!$C$32:$C$59,$C41,Trades!$M$32:$M$59,"&lt;="&amp;D$2)</f>
        <v>0</v>
      </c>
      <c r="E41">
        <f>SUMIFS(Trades!$I$9:$I$59,Trades!$C$9:$C$59,$C41,Trades!$K$9:$K$59,"&lt;="&amp;E$2)-SUMIFS(Trades!$I$32:$I$59,Trades!$C$32:$C$59,$C41,Trades!$M$32:$M$59,"&lt;="&amp;E$2)</f>
        <v>0</v>
      </c>
      <c r="F41">
        <f>SUMIFS(Trades!$I$9:$I$59,Trades!$C$9:$C$59,$C41,Trades!$K$9:$K$59,"&lt;="&amp;F$2)-SUMIFS(Trades!$I$32:$I$59,Trades!$C$32:$C$59,$C41,Trades!$M$32:$M$59,"&lt;="&amp;F$2)</f>
        <v>0</v>
      </c>
      <c r="G41">
        <f>SUMIFS(Trades!$I$9:$I$59,Trades!$C$9:$C$59,$C41,Trades!$K$9:$K$59,"&lt;="&amp;G$2)-SUMIFS(Trades!$I$32:$I$59,Trades!$C$32:$C$59,$C41,Trades!$M$32:$M$59,"&lt;="&amp;G$2)</f>
        <v>0</v>
      </c>
      <c r="H41">
        <f>SUMIFS(Trades!$I$9:$I$59,Trades!$C$9:$C$59,$C41,Trades!$K$9:$K$59,"&lt;="&amp;H$2)-SUMIFS(Trades!$I$32:$I$59,Trades!$C$32:$C$59,$C41,Trades!$M$32:$M$59,"&lt;="&amp;H$2)</f>
        <v>0</v>
      </c>
      <c r="I41">
        <f>SUMIFS(Trades!$I$9:$I$59,Trades!$C$9:$C$59,$C41,Trades!$K$9:$K$59,"&lt;="&amp;I$2)-SUMIFS(Trades!$I$32:$I$59,Trades!$C$32:$C$59,$C41,Trades!$M$32:$M$59,"&lt;="&amp;I$2)</f>
        <v>0</v>
      </c>
      <c r="M41" t="str">
        <f t="shared" si="4"/>
        <v>No</v>
      </c>
      <c r="N41" s="252" t="s">
        <v>87</v>
      </c>
      <c r="O41" s="303">
        <f>SUMIFS(Trades!$O$9:$O$59,Trades!$C$9:$C$59,C41,Trades!$G$9:$G$59,"Buy")</f>
        <v>0</v>
      </c>
      <c r="P41" s="303">
        <f>SUMIFS(Trades!$I$9:$I$59,Trades!$C$9:$C$59,$C41,Trades!$G$9:$G$59,"Buy")</f>
        <v>0</v>
      </c>
      <c r="Q41" s="62" t="str">
        <f t="shared" si="2"/>
        <v/>
      </c>
      <c r="R41">
        <f>SUMIFS(Trades!$O$9:$O$59,Trades!$C$9:$C$59,$C41,Trades!$G$9:$G$59,"Sell")</f>
        <v>0</v>
      </c>
      <c r="S41">
        <f>SUMIFS(Trades!$I$9:$I$59,Trades!$C$9:$C$59,$C41,Trades!$G$9:$G$59,"Sell")</f>
        <v>0</v>
      </c>
      <c r="T41" t="str">
        <f t="shared" si="3"/>
        <v/>
      </c>
    </row>
    <row r="42" spans="1:20" x14ac:dyDescent="0.2">
      <c r="A42" s="1" t="str">
        <f>IF(B42="Yes",COUNTIF($B$3:B42,"Yes"),"")</f>
        <v/>
      </c>
      <c r="B42" t="str">
        <f t="shared" si="1"/>
        <v>No</v>
      </c>
      <c r="C42" s="252" t="s">
        <v>121</v>
      </c>
      <c r="D42">
        <f>SUMIFS(Trades!$I$9:$I$59,Trades!$C$9:$C$59,$C42,Trades!$K$9:$K$59,"&lt;="&amp;D$2)-SUMIFS(Trades!$I$32:$I$59,Trades!$C$32:$C$59,$C42,Trades!$M$32:$M$59,"&lt;="&amp;D$2)</f>
        <v>0</v>
      </c>
      <c r="E42">
        <f>SUMIFS(Trades!$I$9:$I$59,Trades!$C$9:$C$59,$C42,Trades!$K$9:$K$59,"&lt;="&amp;E$2)-SUMIFS(Trades!$I$32:$I$59,Trades!$C$32:$C$59,$C42,Trades!$M$32:$M$59,"&lt;="&amp;E$2)</f>
        <v>0</v>
      </c>
      <c r="F42">
        <f>SUMIFS(Trades!$I$9:$I$59,Trades!$C$9:$C$59,$C42,Trades!$K$9:$K$59,"&lt;="&amp;F$2)-SUMIFS(Trades!$I$32:$I$59,Trades!$C$32:$C$59,$C42,Trades!$M$32:$M$59,"&lt;="&amp;F$2)</f>
        <v>0</v>
      </c>
      <c r="G42">
        <f>SUMIFS(Trades!$I$9:$I$59,Trades!$C$9:$C$59,$C42,Trades!$K$9:$K$59,"&lt;="&amp;G$2)-SUMIFS(Trades!$I$32:$I$59,Trades!$C$32:$C$59,$C42,Trades!$M$32:$M$59,"&lt;="&amp;G$2)</f>
        <v>0</v>
      </c>
      <c r="H42">
        <f>SUMIFS(Trades!$I$9:$I$59,Trades!$C$9:$C$59,$C42,Trades!$K$9:$K$59,"&lt;="&amp;H$2)-SUMIFS(Trades!$I$32:$I$59,Trades!$C$32:$C$59,$C42,Trades!$M$32:$M$59,"&lt;="&amp;H$2)</f>
        <v>0</v>
      </c>
      <c r="I42">
        <f>SUMIFS(Trades!$I$9:$I$59,Trades!$C$9:$C$59,$C42,Trades!$K$9:$K$59,"&lt;="&amp;I$2)-SUMIFS(Trades!$I$32:$I$59,Trades!$C$32:$C$59,$C42,Trades!$M$32:$M$59,"&lt;="&amp;I$2)</f>
        <v>0</v>
      </c>
      <c r="M42" t="str">
        <f t="shared" si="4"/>
        <v>No</v>
      </c>
      <c r="N42" s="252" t="s">
        <v>121</v>
      </c>
      <c r="O42" s="303">
        <f>SUMIFS(Trades!$O$9:$O$59,Trades!$C$9:$C$59,C42,Trades!$G$9:$G$59,"Buy")</f>
        <v>0</v>
      </c>
      <c r="P42" s="303">
        <f>SUMIFS(Trades!$I$9:$I$59,Trades!$C$9:$C$59,$C42,Trades!$G$9:$G$59,"Buy")</f>
        <v>0</v>
      </c>
      <c r="Q42" s="62" t="str">
        <f t="shared" si="2"/>
        <v/>
      </c>
      <c r="R42">
        <f>SUMIFS(Trades!$O$9:$O$59,Trades!$C$9:$C$59,$C42,Trades!$G$9:$G$59,"Sell")</f>
        <v>0</v>
      </c>
      <c r="S42">
        <f>SUMIFS(Trades!$I$9:$I$59,Trades!$C$9:$C$59,$C42,Trades!$G$9:$G$59,"Sell")</f>
        <v>0</v>
      </c>
      <c r="T42" t="str">
        <f t="shared" si="3"/>
        <v/>
      </c>
    </row>
    <row r="43" spans="1:20" x14ac:dyDescent="0.2">
      <c r="A43" s="1" t="str">
        <f>IF(B43="Yes",COUNTIF($B$3:B43,"Yes"),"")</f>
        <v/>
      </c>
      <c r="B43" t="str">
        <f t="shared" si="1"/>
        <v>No</v>
      </c>
      <c r="C43" s="252" t="s">
        <v>108</v>
      </c>
      <c r="D43">
        <f>SUMIFS(Trades!$I$9:$I$59,Trades!$C$9:$C$59,$C43,Trades!$K$9:$K$59,"&lt;="&amp;D$2)-SUMIFS(Trades!$I$32:$I$59,Trades!$C$32:$C$59,$C43,Trades!$M$32:$M$59,"&lt;="&amp;D$2)</f>
        <v>0</v>
      </c>
      <c r="E43">
        <f>SUMIFS(Trades!$I$9:$I$59,Trades!$C$9:$C$59,$C43,Trades!$K$9:$K$59,"&lt;="&amp;E$2)-SUMIFS(Trades!$I$32:$I$59,Trades!$C$32:$C$59,$C43,Trades!$M$32:$M$59,"&lt;="&amp;E$2)</f>
        <v>0</v>
      </c>
      <c r="F43">
        <f>SUMIFS(Trades!$I$9:$I$59,Trades!$C$9:$C$59,$C43,Trades!$K$9:$K$59,"&lt;="&amp;F$2)-SUMIFS(Trades!$I$32:$I$59,Trades!$C$32:$C$59,$C43,Trades!$M$32:$M$59,"&lt;="&amp;F$2)</f>
        <v>0</v>
      </c>
      <c r="G43">
        <f>SUMIFS(Trades!$I$9:$I$59,Trades!$C$9:$C$59,$C43,Trades!$K$9:$K$59,"&lt;="&amp;G$2)-SUMIFS(Trades!$I$32:$I$59,Trades!$C$32:$C$59,$C43,Trades!$M$32:$M$59,"&lt;="&amp;G$2)</f>
        <v>0</v>
      </c>
      <c r="H43">
        <f>SUMIFS(Trades!$I$9:$I$59,Trades!$C$9:$C$59,$C43,Trades!$K$9:$K$59,"&lt;="&amp;H$2)-SUMIFS(Trades!$I$32:$I$59,Trades!$C$32:$C$59,$C43,Trades!$M$32:$M$59,"&lt;="&amp;H$2)</f>
        <v>0</v>
      </c>
      <c r="I43">
        <f>SUMIFS(Trades!$I$9:$I$59,Trades!$C$9:$C$59,$C43,Trades!$K$9:$K$59,"&lt;="&amp;I$2)-SUMIFS(Trades!$I$32:$I$59,Trades!$C$32:$C$59,$C43,Trades!$M$32:$M$59,"&lt;="&amp;I$2)</f>
        <v>0</v>
      </c>
      <c r="M43" t="str">
        <f t="shared" si="4"/>
        <v>No</v>
      </c>
      <c r="N43" s="252" t="s">
        <v>108</v>
      </c>
      <c r="O43" s="303">
        <f>SUMIFS(Trades!$O$9:$O$59,Trades!$C$9:$C$59,C43,Trades!$G$9:$G$59,"Buy")</f>
        <v>0</v>
      </c>
      <c r="P43" s="303">
        <f>SUMIFS(Trades!$I$9:$I$59,Trades!$C$9:$C$59,$C43,Trades!$G$9:$G$59,"Buy")</f>
        <v>0</v>
      </c>
      <c r="Q43" s="62" t="str">
        <f t="shared" si="2"/>
        <v/>
      </c>
      <c r="R43">
        <f>SUMIFS(Trades!$O$9:$O$59,Trades!$C$9:$C$59,$C43,Trades!$G$9:$G$59,"Sell")</f>
        <v>0</v>
      </c>
      <c r="S43">
        <f>SUMIFS(Trades!$I$9:$I$59,Trades!$C$9:$C$59,$C43,Trades!$G$9:$G$59,"Sell")</f>
        <v>0</v>
      </c>
      <c r="T43" t="str">
        <f t="shared" si="3"/>
        <v/>
      </c>
    </row>
    <row r="44" spans="1:20" x14ac:dyDescent="0.2">
      <c r="A44" s="1" t="str">
        <f>IF(B44="Yes",COUNTIF($B$3:B44,"Yes"),"")</f>
        <v/>
      </c>
      <c r="B44" t="str">
        <f t="shared" si="1"/>
        <v>No</v>
      </c>
      <c r="C44" s="252" t="s">
        <v>97</v>
      </c>
      <c r="D44">
        <f>SUMIFS(Trades!$I$9:$I$59,Trades!$C$9:$C$59,$C44,Trades!$K$9:$K$59,"&lt;="&amp;D$2)-SUMIFS(Trades!$I$32:$I$59,Trades!$C$32:$C$59,$C44,Trades!$M$32:$M$59,"&lt;="&amp;D$2)</f>
        <v>0</v>
      </c>
      <c r="E44">
        <f>SUMIFS(Trades!$I$9:$I$59,Trades!$C$9:$C$59,$C44,Trades!$K$9:$K$59,"&lt;="&amp;E$2)-SUMIFS(Trades!$I$32:$I$59,Trades!$C$32:$C$59,$C44,Trades!$M$32:$M$59,"&lt;="&amp;E$2)</f>
        <v>0</v>
      </c>
      <c r="F44">
        <f>SUMIFS(Trades!$I$9:$I$59,Trades!$C$9:$C$59,$C44,Trades!$K$9:$K$59,"&lt;="&amp;F$2)-SUMIFS(Trades!$I$32:$I$59,Trades!$C$32:$C$59,$C44,Trades!$M$32:$M$59,"&lt;="&amp;F$2)</f>
        <v>0</v>
      </c>
      <c r="G44">
        <f>SUMIFS(Trades!$I$9:$I$59,Trades!$C$9:$C$59,$C44,Trades!$K$9:$K$59,"&lt;="&amp;G$2)-SUMIFS(Trades!$I$32:$I$59,Trades!$C$32:$C$59,$C44,Trades!$M$32:$M$59,"&lt;="&amp;G$2)</f>
        <v>0</v>
      </c>
      <c r="H44">
        <f>SUMIFS(Trades!$I$9:$I$59,Trades!$C$9:$C$59,$C44,Trades!$K$9:$K$59,"&lt;="&amp;H$2)-SUMIFS(Trades!$I$32:$I$59,Trades!$C$32:$C$59,$C44,Trades!$M$32:$M$59,"&lt;="&amp;H$2)</f>
        <v>0</v>
      </c>
      <c r="I44">
        <f>SUMIFS(Trades!$I$9:$I$59,Trades!$C$9:$C$59,$C44,Trades!$K$9:$K$59,"&lt;="&amp;I$2)-SUMIFS(Trades!$I$32:$I$59,Trades!$C$32:$C$59,$C44,Trades!$M$32:$M$59,"&lt;="&amp;I$2)</f>
        <v>0</v>
      </c>
      <c r="M44" t="str">
        <f t="shared" si="4"/>
        <v>No</v>
      </c>
      <c r="N44" s="252" t="s">
        <v>97</v>
      </c>
      <c r="O44" s="303">
        <f>SUMIFS(Trades!$O$9:$O$59,Trades!$C$9:$C$59,C44,Trades!$G$9:$G$59,"Buy")</f>
        <v>0</v>
      </c>
      <c r="P44" s="303">
        <f>SUMIFS(Trades!$I$9:$I$59,Trades!$C$9:$C$59,$C44,Trades!$G$9:$G$59,"Buy")</f>
        <v>0</v>
      </c>
      <c r="Q44" s="62" t="str">
        <f t="shared" si="2"/>
        <v/>
      </c>
      <c r="R44">
        <f>SUMIFS(Trades!$O$9:$O$59,Trades!$C$9:$C$59,$C44,Trades!$G$9:$G$59,"Sell")</f>
        <v>0</v>
      </c>
      <c r="S44">
        <f>SUMIFS(Trades!$I$9:$I$59,Trades!$C$9:$C$59,$C44,Trades!$G$9:$G$59,"Sell")</f>
        <v>0</v>
      </c>
      <c r="T44" t="str">
        <f t="shared" si="3"/>
        <v/>
      </c>
    </row>
    <row r="45" spans="1:20" x14ac:dyDescent="0.2">
      <c r="A45" s="1" t="str">
        <f>IF(B45="Yes",COUNTIF($B$3:B45,"Yes"),"")</f>
        <v/>
      </c>
      <c r="B45" t="str">
        <f t="shared" si="1"/>
        <v>No</v>
      </c>
      <c r="C45" s="252" t="s">
        <v>84</v>
      </c>
      <c r="D45">
        <f>SUMIFS(Trades!$I$9:$I$59,Trades!$C$9:$C$59,$C45,Trades!$K$9:$K$59,"&lt;="&amp;D$2)-SUMIFS(Trades!$I$32:$I$59,Trades!$C$32:$C$59,$C45,Trades!$M$32:$M$59,"&lt;="&amp;D$2)</f>
        <v>0</v>
      </c>
      <c r="E45">
        <f>SUMIFS(Trades!$I$9:$I$59,Trades!$C$9:$C$59,$C45,Trades!$K$9:$K$59,"&lt;="&amp;E$2)-SUMIFS(Trades!$I$32:$I$59,Trades!$C$32:$C$59,$C45,Trades!$M$32:$M$59,"&lt;="&amp;E$2)</f>
        <v>0</v>
      </c>
      <c r="F45">
        <f>SUMIFS(Trades!$I$9:$I$59,Trades!$C$9:$C$59,$C45,Trades!$K$9:$K$59,"&lt;="&amp;F$2)-SUMIFS(Trades!$I$32:$I$59,Trades!$C$32:$C$59,$C45,Trades!$M$32:$M$59,"&lt;="&amp;F$2)</f>
        <v>0</v>
      </c>
      <c r="G45">
        <f>SUMIFS(Trades!$I$9:$I$59,Trades!$C$9:$C$59,$C45,Trades!$K$9:$K$59,"&lt;="&amp;G$2)-SUMIFS(Trades!$I$32:$I$59,Trades!$C$32:$C$59,$C45,Trades!$M$32:$M$59,"&lt;="&amp;G$2)</f>
        <v>0</v>
      </c>
      <c r="H45">
        <f>SUMIFS(Trades!$I$9:$I$59,Trades!$C$9:$C$59,$C45,Trades!$K$9:$K$59,"&lt;="&amp;H$2)-SUMIFS(Trades!$I$32:$I$59,Trades!$C$32:$C$59,$C45,Trades!$M$32:$M$59,"&lt;="&amp;H$2)</f>
        <v>0</v>
      </c>
      <c r="I45">
        <f>SUMIFS(Trades!$I$9:$I$59,Trades!$C$9:$C$59,$C45,Trades!$K$9:$K$59,"&lt;="&amp;I$2)-SUMIFS(Trades!$I$32:$I$59,Trades!$C$32:$C$59,$C45,Trades!$M$32:$M$59,"&lt;="&amp;I$2)</f>
        <v>0</v>
      </c>
      <c r="M45" t="str">
        <f t="shared" si="4"/>
        <v>No</v>
      </c>
      <c r="N45" s="252" t="s">
        <v>84</v>
      </c>
      <c r="O45" s="303">
        <f>SUMIFS(Trades!$O$9:$O$59,Trades!$C$9:$C$59,C45,Trades!$G$9:$G$59,"Buy")</f>
        <v>0</v>
      </c>
      <c r="P45" s="303">
        <f>SUMIFS(Trades!$I$9:$I$59,Trades!$C$9:$C$59,$C45,Trades!$G$9:$G$59,"Buy")</f>
        <v>0</v>
      </c>
      <c r="Q45" s="62" t="str">
        <f t="shared" si="2"/>
        <v/>
      </c>
      <c r="R45">
        <f>SUMIFS(Trades!$O$9:$O$59,Trades!$C$9:$C$59,$C45,Trades!$G$9:$G$59,"Sell")</f>
        <v>0</v>
      </c>
      <c r="S45">
        <f>SUMIFS(Trades!$I$9:$I$59,Trades!$C$9:$C$59,$C45,Trades!$G$9:$G$59,"Sell")</f>
        <v>0</v>
      </c>
      <c r="T45" t="str">
        <f t="shared" si="3"/>
        <v/>
      </c>
    </row>
    <row r="46" spans="1:20" x14ac:dyDescent="0.2">
      <c r="A46" s="1" t="str">
        <f>IF(B46="Yes",COUNTIF($B$3:B46,"Yes"),"")</f>
        <v/>
      </c>
      <c r="B46" t="str">
        <f t="shared" si="1"/>
        <v>No</v>
      </c>
      <c r="C46" s="252" t="s">
        <v>101</v>
      </c>
      <c r="D46">
        <f>SUMIFS(Trades!$I$9:$I$59,Trades!$C$9:$C$59,$C46,Trades!$K$9:$K$59,"&lt;="&amp;D$2)-SUMIFS(Trades!$I$32:$I$59,Trades!$C$32:$C$59,$C46,Trades!$M$32:$M$59,"&lt;="&amp;D$2)</f>
        <v>0</v>
      </c>
      <c r="E46">
        <f>SUMIFS(Trades!$I$9:$I$59,Trades!$C$9:$C$59,$C46,Trades!$K$9:$K$59,"&lt;="&amp;E$2)-SUMIFS(Trades!$I$32:$I$59,Trades!$C$32:$C$59,$C46,Trades!$M$32:$M$59,"&lt;="&amp;E$2)</f>
        <v>0</v>
      </c>
      <c r="F46">
        <f>SUMIFS(Trades!$I$9:$I$59,Trades!$C$9:$C$59,$C46,Trades!$K$9:$K$59,"&lt;="&amp;F$2)-SUMIFS(Trades!$I$32:$I$59,Trades!$C$32:$C$59,$C46,Trades!$M$32:$M$59,"&lt;="&amp;F$2)</f>
        <v>0</v>
      </c>
      <c r="G46">
        <f>SUMIFS(Trades!$I$9:$I$59,Trades!$C$9:$C$59,$C46,Trades!$K$9:$K$59,"&lt;="&amp;G$2)-SUMIFS(Trades!$I$32:$I$59,Trades!$C$32:$C$59,$C46,Trades!$M$32:$M$59,"&lt;="&amp;G$2)</f>
        <v>0</v>
      </c>
      <c r="H46">
        <f>SUMIFS(Trades!$I$9:$I$59,Trades!$C$9:$C$59,$C46,Trades!$K$9:$K$59,"&lt;="&amp;H$2)-SUMIFS(Trades!$I$32:$I$59,Trades!$C$32:$C$59,$C46,Trades!$M$32:$M$59,"&lt;="&amp;H$2)</f>
        <v>0</v>
      </c>
      <c r="I46">
        <f>SUMIFS(Trades!$I$9:$I$59,Trades!$C$9:$C$59,$C46,Trades!$K$9:$K$59,"&lt;="&amp;I$2)-SUMIFS(Trades!$I$32:$I$59,Trades!$C$32:$C$59,$C46,Trades!$M$32:$M$59,"&lt;="&amp;I$2)</f>
        <v>0</v>
      </c>
      <c r="M46" t="str">
        <f t="shared" si="4"/>
        <v>No</v>
      </c>
      <c r="N46" s="252" t="s">
        <v>101</v>
      </c>
      <c r="O46" s="303">
        <f>SUMIFS(Trades!$O$9:$O$59,Trades!$C$9:$C$59,C46,Trades!$G$9:$G$59,"Buy")</f>
        <v>0</v>
      </c>
      <c r="P46" s="303">
        <f>SUMIFS(Trades!$I$9:$I$59,Trades!$C$9:$C$59,$C46,Trades!$G$9:$G$59,"Buy")</f>
        <v>0</v>
      </c>
      <c r="Q46" s="62" t="str">
        <f t="shared" si="2"/>
        <v/>
      </c>
      <c r="R46">
        <f>SUMIFS(Trades!$O$9:$O$59,Trades!$C$9:$C$59,$C46,Trades!$G$9:$G$59,"Sell")</f>
        <v>0</v>
      </c>
      <c r="S46">
        <f>SUMIFS(Trades!$I$9:$I$59,Trades!$C$9:$C$59,$C46,Trades!$G$9:$G$59,"Sell")</f>
        <v>0</v>
      </c>
      <c r="T46" t="str">
        <f t="shared" si="3"/>
        <v/>
      </c>
    </row>
    <row r="47" spans="1:20" x14ac:dyDescent="0.2">
      <c r="A47" s="1" t="str">
        <f>IF(B47="Yes",COUNTIF($B$3:B47,"Yes"),"")</f>
        <v/>
      </c>
      <c r="B47" t="str">
        <f t="shared" si="1"/>
        <v>No</v>
      </c>
      <c r="C47" s="252" t="s">
        <v>107</v>
      </c>
      <c r="D47">
        <f>SUMIFS(Trades!$I$9:$I$59,Trades!$C$9:$C$59,$C47,Trades!$K$9:$K$59,"&lt;="&amp;D$2)-SUMIFS(Trades!$I$32:$I$59,Trades!$C$32:$C$59,$C47,Trades!$M$32:$M$59,"&lt;="&amp;D$2)</f>
        <v>0</v>
      </c>
      <c r="E47">
        <f>SUMIFS(Trades!$I$9:$I$59,Trades!$C$9:$C$59,$C47,Trades!$K$9:$K$59,"&lt;="&amp;E$2)-SUMIFS(Trades!$I$32:$I$59,Trades!$C$32:$C$59,$C47,Trades!$M$32:$M$59,"&lt;="&amp;E$2)</f>
        <v>0</v>
      </c>
      <c r="F47">
        <f>SUMIFS(Trades!$I$9:$I$59,Trades!$C$9:$C$59,$C47,Trades!$K$9:$K$59,"&lt;="&amp;F$2)-SUMIFS(Trades!$I$32:$I$59,Trades!$C$32:$C$59,$C47,Trades!$M$32:$M$59,"&lt;="&amp;F$2)</f>
        <v>0</v>
      </c>
      <c r="G47">
        <f>SUMIFS(Trades!$I$9:$I$59,Trades!$C$9:$C$59,$C47,Trades!$K$9:$K$59,"&lt;="&amp;G$2)-SUMIFS(Trades!$I$32:$I$59,Trades!$C$32:$C$59,$C47,Trades!$M$32:$M$59,"&lt;="&amp;G$2)</f>
        <v>0</v>
      </c>
      <c r="H47">
        <f>SUMIFS(Trades!$I$9:$I$59,Trades!$C$9:$C$59,$C47,Trades!$K$9:$K$59,"&lt;="&amp;H$2)-SUMIFS(Trades!$I$32:$I$59,Trades!$C$32:$C$59,$C47,Trades!$M$32:$M$59,"&lt;="&amp;H$2)</f>
        <v>0</v>
      </c>
      <c r="I47">
        <f>SUMIFS(Trades!$I$9:$I$59,Trades!$C$9:$C$59,$C47,Trades!$K$9:$K$59,"&lt;="&amp;I$2)-SUMIFS(Trades!$I$32:$I$59,Trades!$C$32:$C$59,$C47,Trades!$M$32:$M$59,"&lt;="&amp;I$2)</f>
        <v>0</v>
      </c>
      <c r="M47" t="str">
        <f t="shared" si="4"/>
        <v>No</v>
      </c>
      <c r="N47" s="252" t="s">
        <v>107</v>
      </c>
      <c r="O47" s="303">
        <f>SUMIFS(Trades!$O$9:$O$59,Trades!$C$9:$C$59,C47,Trades!$G$9:$G$59,"Buy")</f>
        <v>0</v>
      </c>
      <c r="P47" s="303">
        <f>SUMIFS(Trades!$I$9:$I$59,Trades!$C$9:$C$59,$C47,Trades!$G$9:$G$59,"Buy")</f>
        <v>0</v>
      </c>
      <c r="Q47" s="62" t="str">
        <f t="shared" si="2"/>
        <v/>
      </c>
      <c r="R47">
        <f>SUMIFS(Trades!$O$9:$O$59,Trades!$C$9:$C$59,$C47,Trades!$G$9:$G$59,"Sell")</f>
        <v>0</v>
      </c>
      <c r="S47">
        <f>SUMIFS(Trades!$I$9:$I$59,Trades!$C$9:$C$59,$C47,Trades!$G$9:$G$59,"Sell")</f>
        <v>0</v>
      </c>
      <c r="T47" t="str">
        <f t="shared" si="3"/>
        <v/>
      </c>
    </row>
    <row r="48" spans="1:20" x14ac:dyDescent="0.2">
      <c r="A48" s="1" t="str">
        <f>IF(B48="Yes",COUNTIF($B$3:B48,"Yes"),"")</f>
        <v/>
      </c>
      <c r="B48" t="str">
        <f t="shared" si="1"/>
        <v>No</v>
      </c>
      <c r="C48" s="252" t="s">
        <v>65</v>
      </c>
      <c r="D48">
        <f>SUMIFS(Trades!$I$9:$I$59,Trades!$C$9:$C$59,$C48,Trades!$K$9:$K$59,"&lt;="&amp;D$2)-SUMIFS(Trades!$I$32:$I$59,Trades!$C$32:$C$59,$C48,Trades!$M$32:$M$59,"&lt;="&amp;D$2)</f>
        <v>0</v>
      </c>
      <c r="E48">
        <f>SUMIFS(Trades!$I$9:$I$59,Trades!$C$9:$C$59,$C48,Trades!$K$9:$K$59,"&lt;="&amp;E$2)-SUMIFS(Trades!$I$32:$I$59,Trades!$C$32:$C$59,$C48,Trades!$M$32:$M$59,"&lt;="&amp;E$2)</f>
        <v>0</v>
      </c>
      <c r="F48">
        <f>SUMIFS(Trades!$I$9:$I$59,Trades!$C$9:$C$59,$C48,Trades!$K$9:$K$59,"&lt;="&amp;F$2)-SUMIFS(Trades!$I$32:$I$59,Trades!$C$32:$C$59,$C48,Trades!$M$32:$M$59,"&lt;="&amp;F$2)</f>
        <v>0</v>
      </c>
      <c r="G48">
        <f>SUMIFS(Trades!$I$9:$I$59,Trades!$C$9:$C$59,$C48,Trades!$K$9:$K$59,"&lt;="&amp;G$2)-SUMIFS(Trades!$I$32:$I$59,Trades!$C$32:$C$59,$C48,Trades!$M$32:$M$59,"&lt;="&amp;G$2)</f>
        <v>0</v>
      </c>
      <c r="H48">
        <f>SUMIFS(Trades!$I$9:$I$59,Trades!$C$9:$C$59,$C48,Trades!$K$9:$K$59,"&lt;="&amp;H$2)-SUMIFS(Trades!$I$32:$I$59,Trades!$C$32:$C$59,$C48,Trades!$M$32:$M$59,"&lt;="&amp;H$2)</f>
        <v>0</v>
      </c>
      <c r="I48">
        <f>SUMIFS(Trades!$I$9:$I$59,Trades!$C$9:$C$59,$C48,Trades!$K$9:$K$59,"&lt;="&amp;I$2)-SUMIFS(Trades!$I$32:$I$59,Trades!$C$32:$C$59,$C48,Trades!$M$32:$M$59,"&lt;="&amp;I$2)</f>
        <v>0</v>
      </c>
      <c r="M48" t="str">
        <f t="shared" si="4"/>
        <v>No</v>
      </c>
      <c r="N48" s="252" t="s">
        <v>65</v>
      </c>
      <c r="O48" s="303">
        <f>SUMIFS(Trades!$O$9:$O$59,Trades!$C$9:$C$59,C48,Trades!$G$9:$G$59,"Buy")</f>
        <v>0</v>
      </c>
      <c r="P48" s="303">
        <f>SUMIFS(Trades!$I$9:$I$59,Trades!$C$9:$C$59,$C48,Trades!$G$9:$G$59,"Buy")</f>
        <v>0</v>
      </c>
      <c r="Q48" s="62" t="str">
        <f t="shared" si="2"/>
        <v/>
      </c>
      <c r="R48">
        <f>SUMIFS(Trades!$O$9:$O$59,Trades!$C$9:$C$59,$C48,Trades!$G$9:$G$59,"Sell")</f>
        <v>0</v>
      </c>
      <c r="S48">
        <f>SUMIFS(Trades!$I$9:$I$59,Trades!$C$9:$C$59,$C48,Trades!$G$9:$G$59,"Sell")</f>
        <v>0</v>
      </c>
      <c r="T48" t="str">
        <f t="shared" si="3"/>
        <v/>
      </c>
    </row>
    <row r="49" spans="1:20" x14ac:dyDescent="0.2">
      <c r="A49" s="1" t="str">
        <f>IF(B49="Yes",COUNTIF($B$3:B49,"Yes"),"")</f>
        <v/>
      </c>
      <c r="B49" t="str">
        <f t="shared" si="1"/>
        <v>No</v>
      </c>
      <c r="C49" s="252" t="s">
        <v>75</v>
      </c>
      <c r="D49">
        <f>SUMIFS(Trades!$I$9:$I$59,Trades!$C$9:$C$59,$C49,Trades!$K$9:$K$59,"&lt;="&amp;D$2)-SUMIFS(Trades!$I$32:$I$59,Trades!$C$32:$C$59,$C49,Trades!$M$32:$M$59,"&lt;="&amp;D$2)</f>
        <v>0</v>
      </c>
      <c r="E49">
        <f>SUMIFS(Trades!$I$9:$I$59,Trades!$C$9:$C$59,$C49,Trades!$K$9:$K$59,"&lt;="&amp;E$2)-SUMIFS(Trades!$I$32:$I$59,Trades!$C$32:$C$59,$C49,Trades!$M$32:$M$59,"&lt;="&amp;E$2)</f>
        <v>0</v>
      </c>
      <c r="F49">
        <f>SUMIFS(Trades!$I$9:$I$59,Trades!$C$9:$C$59,$C49,Trades!$K$9:$K$59,"&lt;="&amp;F$2)-SUMIFS(Trades!$I$32:$I$59,Trades!$C$32:$C$59,$C49,Trades!$M$32:$M$59,"&lt;="&amp;F$2)</f>
        <v>0</v>
      </c>
      <c r="G49">
        <f>SUMIFS(Trades!$I$9:$I$59,Trades!$C$9:$C$59,$C49,Trades!$K$9:$K$59,"&lt;="&amp;G$2)-SUMIFS(Trades!$I$32:$I$59,Trades!$C$32:$C$59,$C49,Trades!$M$32:$M$59,"&lt;="&amp;G$2)</f>
        <v>0</v>
      </c>
      <c r="H49">
        <f>SUMIFS(Trades!$I$9:$I$59,Trades!$C$9:$C$59,$C49,Trades!$K$9:$K$59,"&lt;="&amp;H$2)-SUMIFS(Trades!$I$32:$I$59,Trades!$C$32:$C$59,$C49,Trades!$M$32:$M$59,"&lt;="&amp;H$2)</f>
        <v>0</v>
      </c>
      <c r="I49">
        <f>SUMIFS(Trades!$I$9:$I$59,Trades!$C$9:$C$59,$C49,Trades!$K$9:$K$59,"&lt;="&amp;I$2)-SUMIFS(Trades!$I$32:$I$59,Trades!$C$32:$C$59,$C49,Trades!$M$32:$M$59,"&lt;="&amp;I$2)</f>
        <v>0</v>
      </c>
      <c r="M49" t="str">
        <f t="shared" si="4"/>
        <v>No</v>
      </c>
      <c r="N49" s="252" t="s">
        <v>75</v>
      </c>
      <c r="O49" s="303">
        <f>SUMIFS(Trades!$O$9:$O$59,Trades!$C$9:$C$59,C49,Trades!$G$9:$G$59,"Buy")</f>
        <v>0</v>
      </c>
      <c r="P49" s="303">
        <f>SUMIFS(Trades!$I$9:$I$59,Trades!$C$9:$C$59,$C49,Trades!$G$9:$G$59,"Buy")</f>
        <v>0</v>
      </c>
      <c r="Q49" s="62" t="str">
        <f t="shared" si="2"/>
        <v/>
      </c>
      <c r="R49">
        <f>SUMIFS(Trades!$O$9:$O$59,Trades!$C$9:$C$59,$C49,Trades!$G$9:$G$59,"Sell")</f>
        <v>0</v>
      </c>
      <c r="S49">
        <f>SUMIFS(Trades!$I$9:$I$59,Trades!$C$9:$C$59,$C49,Trades!$G$9:$G$59,"Sell")</f>
        <v>0</v>
      </c>
      <c r="T49" t="str">
        <f t="shared" si="3"/>
        <v/>
      </c>
    </row>
    <row r="50" spans="1:20" x14ac:dyDescent="0.2">
      <c r="A50" s="1" t="str">
        <f>IF(B50="Yes",COUNTIF($B$3:B50,"Yes"),"")</f>
        <v/>
      </c>
      <c r="B50" t="str">
        <f t="shared" si="1"/>
        <v>No</v>
      </c>
      <c r="C50" s="252" t="s">
        <v>85</v>
      </c>
      <c r="D50">
        <f>SUMIFS(Trades!$I$9:$I$59,Trades!$C$9:$C$59,$C50,Trades!$K$9:$K$59,"&lt;="&amp;D$2)-SUMIFS(Trades!$I$32:$I$59,Trades!$C$32:$C$59,$C50,Trades!$M$32:$M$59,"&lt;="&amp;D$2)</f>
        <v>0</v>
      </c>
      <c r="E50">
        <f>SUMIFS(Trades!$I$9:$I$59,Trades!$C$9:$C$59,$C50,Trades!$K$9:$K$59,"&lt;="&amp;E$2)-SUMIFS(Trades!$I$32:$I$59,Trades!$C$32:$C$59,$C50,Trades!$M$32:$M$59,"&lt;="&amp;E$2)</f>
        <v>0</v>
      </c>
      <c r="F50">
        <f>SUMIFS(Trades!$I$9:$I$59,Trades!$C$9:$C$59,$C50,Trades!$K$9:$K$59,"&lt;="&amp;F$2)-SUMIFS(Trades!$I$32:$I$59,Trades!$C$32:$C$59,$C50,Trades!$M$32:$M$59,"&lt;="&amp;F$2)</f>
        <v>0</v>
      </c>
      <c r="G50">
        <f>SUMIFS(Trades!$I$9:$I$59,Trades!$C$9:$C$59,$C50,Trades!$K$9:$K$59,"&lt;="&amp;G$2)-SUMIFS(Trades!$I$32:$I$59,Trades!$C$32:$C$59,$C50,Trades!$M$32:$M$59,"&lt;="&amp;G$2)</f>
        <v>0</v>
      </c>
      <c r="H50">
        <f>SUMIFS(Trades!$I$9:$I$59,Trades!$C$9:$C$59,$C50,Trades!$K$9:$K$59,"&lt;="&amp;H$2)-SUMIFS(Trades!$I$32:$I$59,Trades!$C$32:$C$59,$C50,Trades!$M$32:$M$59,"&lt;="&amp;H$2)</f>
        <v>0</v>
      </c>
      <c r="I50">
        <f>SUMIFS(Trades!$I$9:$I$59,Trades!$C$9:$C$59,$C50,Trades!$K$9:$K$59,"&lt;="&amp;I$2)-SUMIFS(Trades!$I$32:$I$59,Trades!$C$32:$C$59,$C50,Trades!$M$32:$M$59,"&lt;="&amp;I$2)</f>
        <v>0</v>
      </c>
      <c r="M50" t="str">
        <f t="shared" si="4"/>
        <v>No</v>
      </c>
      <c r="N50" s="252" t="s">
        <v>85</v>
      </c>
      <c r="O50" s="303">
        <f>SUMIFS(Trades!$O$9:$O$59,Trades!$C$9:$C$59,C50,Trades!$G$9:$G$59,"Buy")</f>
        <v>0</v>
      </c>
      <c r="P50" s="303">
        <f>SUMIFS(Trades!$I$9:$I$59,Trades!$C$9:$C$59,$C50,Trades!$G$9:$G$59,"Buy")</f>
        <v>0</v>
      </c>
      <c r="Q50" s="62" t="str">
        <f t="shared" si="2"/>
        <v/>
      </c>
      <c r="R50">
        <f>SUMIFS(Trades!$O$9:$O$59,Trades!$C$9:$C$59,$C50,Trades!$G$9:$G$59,"Sell")</f>
        <v>0</v>
      </c>
      <c r="S50">
        <f>SUMIFS(Trades!$I$9:$I$59,Trades!$C$9:$C$59,$C50,Trades!$G$9:$G$59,"Sell")</f>
        <v>0</v>
      </c>
      <c r="T50" t="str">
        <f t="shared" si="3"/>
        <v/>
      </c>
    </row>
    <row r="51" spans="1:20" x14ac:dyDescent="0.2">
      <c r="A51" s="1" t="str">
        <f>IF(B51="Yes",COUNTIF($B$3:B51,"Yes"),"")</f>
        <v/>
      </c>
      <c r="B51" t="str">
        <f t="shared" si="1"/>
        <v>No</v>
      </c>
      <c r="C51" s="252" t="s">
        <v>67</v>
      </c>
      <c r="D51">
        <f>SUMIFS(Trades!$I$9:$I$59,Trades!$C$9:$C$59,$C51,Trades!$K$9:$K$59,"&lt;="&amp;D$2)-SUMIFS(Trades!$I$32:$I$59,Trades!$C$32:$C$59,$C51,Trades!$M$32:$M$59,"&lt;="&amp;D$2)</f>
        <v>0</v>
      </c>
      <c r="E51">
        <f>SUMIFS(Trades!$I$9:$I$59,Trades!$C$9:$C$59,$C51,Trades!$K$9:$K$59,"&lt;="&amp;E$2)-SUMIFS(Trades!$I$32:$I$59,Trades!$C$32:$C$59,$C51,Trades!$M$32:$M$59,"&lt;="&amp;E$2)</f>
        <v>0</v>
      </c>
      <c r="F51">
        <f>SUMIFS(Trades!$I$9:$I$59,Trades!$C$9:$C$59,$C51,Trades!$K$9:$K$59,"&lt;="&amp;F$2)-SUMIFS(Trades!$I$32:$I$59,Trades!$C$32:$C$59,$C51,Trades!$M$32:$M$59,"&lt;="&amp;F$2)</f>
        <v>0</v>
      </c>
      <c r="G51">
        <f>SUMIFS(Trades!$I$9:$I$59,Trades!$C$9:$C$59,$C51,Trades!$K$9:$K$59,"&lt;="&amp;G$2)-SUMIFS(Trades!$I$32:$I$59,Trades!$C$32:$C$59,$C51,Trades!$M$32:$M$59,"&lt;="&amp;G$2)</f>
        <v>0</v>
      </c>
      <c r="H51">
        <f>SUMIFS(Trades!$I$9:$I$59,Trades!$C$9:$C$59,$C51,Trades!$K$9:$K$59,"&lt;="&amp;H$2)-SUMIFS(Trades!$I$32:$I$59,Trades!$C$32:$C$59,$C51,Trades!$M$32:$M$59,"&lt;="&amp;H$2)</f>
        <v>0</v>
      </c>
      <c r="I51">
        <f>SUMIFS(Trades!$I$9:$I$59,Trades!$C$9:$C$59,$C51,Trades!$K$9:$K$59,"&lt;="&amp;I$2)-SUMIFS(Trades!$I$32:$I$59,Trades!$C$32:$C$59,$C51,Trades!$M$32:$M$59,"&lt;="&amp;I$2)</f>
        <v>0</v>
      </c>
      <c r="M51" t="str">
        <f t="shared" si="4"/>
        <v>No</v>
      </c>
      <c r="N51" s="252" t="s">
        <v>67</v>
      </c>
      <c r="O51" s="303">
        <f>SUMIFS(Trades!$O$9:$O$59,Trades!$C$9:$C$59,C51,Trades!$G$9:$G$59,"Buy")</f>
        <v>0</v>
      </c>
      <c r="P51" s="303">
        <f>SUMIFS(Trades!$I$9:$I$59,Trades!$C$9:$C$59,$C51,Trades!$G$9:$G$59,"Buy")</f>
        <v>0</v>
      </c>
      <c r="Q51" s="62" t="str">
        <f t="shared" si="2"/>
        <v/>
      </c>
      <c r="R51">
        <f>SUMIFS(Trades!$O$9:$O$59,Trades!$C$9:$C$59,$C51,Trades!$G$9:$G$59,"Sell")</f>
        <v>0</v>
      </c>
      <c r="S51">
        <f>SUMIFS(Trades!$I$9:$I$59,Trades!$C$9:$C$59,$C51,Trades!$G$9:$G$59,"Sell")</f>
        <v>0</v>
      </c>
      <c r="T51" t="str">
        <f t="shared" si="3"/>
        <v/>
      </c>
    </row>
    <row r="52" spans="1:20" x14ac:dyDescent="0.2">
      <c r="A52" s="1" t="str">
        <f>IF(B52="Yes",COUNTIF($B$3:B52,"Yes"),"")</f>
        <v/>
      </c>
      <c r="B52" t="str">
        <f t="shared" si="1"/>
        <v>No</v>
      </c>
      <c r="C52" s="252" t="s">
        <v>103</v>
      </c>
      <c r="D52">
        <f>SUMIFS(Trades!$I$9:$I$59,Trades!$C$9:$C$59,$C52,Trades!$K$9:$K$59,"&lt;="&amp;D$2)-SUMIFS(Trades!$I$32:$I$59,Trades!$C$32:$C$59,$C52,Trades!$M$32:$M$59,"&lt;="&amp;D$2)</f>
        <v>0</v>
      </c>
      <c r="E52">
        <f>SUMIFS(Trades!$I$9:$I$59,Trades!$C$9:$C$59,$C52,Trades!$K$9:$K$59,"&lt;="&amp;E$2)-SUMIFS(Trades!$I$32:$I$59,Trades!$C$32:$C$59,$C52,Trades!$M$32:$M$59,"&lt;="&amp;E$2)</f>
        <v>0</v>
      </c>
      <c r="F52">
        <f>SUMIFS(Trades!$I$9:$I$59,Trades!$C$9:$C$59,$C52,Trades!$K$9:$K$59,"&lt;="&amp;F$2)-SUMIFS(Trades!$I$32:$I$59,Trades!$C$32:$C$59,$C52,Trades!$M$32:$M$59,"&lt;="&amp;F$2)</f>
        <v>0</v>
      </c>
      <c r="G52">
        <f>SUMIFS(Trades!$I$9:$I$59,Trades!$C$9:$C$59,$C52,Trades!$K$9:$K$59,"&lt;="&amp;G$2)-SUMIFS(Trades!$I$32:$I$59,Trades!$C$32:$C$59,$C52,Trades!$M$32:$M$59,"&lt;="&amp;G$2)</f>
        <v>0</v>
      </c>
      <c r="H52">
        <f>SUMIFS(Trades!$I$9:$I$59,Trades!$C$9:$C$59,$C52,Trades!$K$9:$K$59,"&lt;="&amp;H$2)-SUMIFS(Trades!$I$32:$I$59,Trades!$C$32:$C$59,$C52,Trades!$M$32:$M$59,"&lt;="&amp;H$2)</f>
        <v>0</v>
      </c>
      <c r="I52">
        <f>SUMIFS(Trades!$I$9:$I$59,Trades!$C$9:$C$59,$C52,Trades!$K$9:$K$59,"&lt;="&amp;I$2)-SUMIFS(Trades!$I$32:$I$59,Trades!$C$32:$C$59,$C52,Trades!$M$32:$M$59,"&lt;="&amp;I$2)</f>
        <v>0</v>
      </c>
      <c r="M52" t="str">
        <f t="shared" si="4"/>
        <v>No</v>
      </c>
      <c r="N52" s="252" t="s">
        <v>103</v>
      </c>
      <c r="O52" s="303">
        <f>SUMIFS(Trades!$O$9:$O$59,Trades!$C$9:$C$59,C52,Trades!$G$9:$G$59,"Buy")</f>
        <v>0</v>
      </c>
      <c r="P52" s="303">
        <f>SUMIFS(Trades!$I$9:$I$59,Trades!$C$9:$C$59,$C52,Trades!$G$9:$G$59,"Buy")</f>
        <v>0</v>
      </c>
      <c r="Q52" s="62" t="str">
        <f t="shared" si="2"/>
        <v/>
      </c>
      <c r="R52">
        <f>SUMIFS(Trades!$O$9:$O$59,Trades!$C$9:$C$59,$C52,Trades!$G$9:$G$59,"Sell")</f>
        <v>0</v>
      </c>
      <c r="S52">
        <f>SUMIFS(Trades!$I$9:$I$59,Trades!$C$9:$C$59,$C52,Trades!$G$9:$G$59,"Sell")</f>
        <v>0</v>
      </c>
      <c r="T52" t="str">
        <f t="shared" si="3"/>
        <v/>
      </c>
    </row>
    <row r="53" spans="1:20" x14ac:dyDescent="0.2">
      <c r="A53" s="1" t="str">
        <f>IF(B53="Yes",COUNTIF($B$3:B53,"Yes"),"")</f>
        <v/>
      </c>
      <c r="B53" t="str">
        <f t="shared" si="1"/>
        <v>No</v>
      </c>
      <c r="C53" s="252" t="s">
        <v>46</v>
      </c>
      <c r="D53">
        <f>SUMIFS(Trades!$I$9:$I$59,Trades!$C$9:$C$59,$C53,Trades!$K$9:$K$59,"&lt;="&amp;D$2)-SUMIFS(Trades!$I$32:$I$59,Trades!$C$32:$C$59,$C53,Trades!$M$32:$M$59,"&lt;="&amp;D$2)</f>
        <v>0</v>
      </c>
      <c r="E53">
        <f>SUMIFS(Trades!$I$9:$I$59,Trades!$C$9:$C$59,$C53,Trades!$K$9:$K$59,"&lt;="&amp;E$2)-SUMIFS(Trades!$I$32:$I$59,Trades!$C$32:$C$59,$C53,Trades!$M$32:$M$59,"&lt;="&amp;E$2)</f>
        <v>0</v>
      </c>
      <c r="F53">
        <f>SUMIFS(Trades!$I$9:$I$59,Trades!$C$9:$C$59,$C53,Trades!$K$9:$K$59,"&lt;="&amp;F$2)-SUMIFS(Trades!$I$32:$I$59,Trades!$C$32:$C$59,$C53,Trades!$M$32:$M$59,"&lt;="&amp;F$2)</f>
        <v>0</v>
      </c>
      <c r="G53">
        <f>SUMIFS(Trades!$I$9:$I$59,Trades!$C$9:$C$59,$C53,Trades!$K$9:$K$59,"&lt;="&amp;G$2)-SUMIFS(Trades!$I$32:$I$59,Trades!$C$32:$C$59,$C53,Trades!$M$32:$M$59,"&lt;="&amp;G$2)</f>
        <v>0</v>
      </c>
      <c r="H53">
        <f>SUMIFS(Trades!$I$9:$I$59,Trades!$C$9:$C$59,$C53,Trades!$K$9:$K$59,"&lt;="&amp;H$2)-SUMIFS(Trades!$I$32:$I$59,Trades!$C$32:$C$59,$C53,Trades!$M$32:$M$59,"&lt;="&amp;H$2)</f>
        <v>0</v>
      </c>
      <c r="I53">
        <f>SUMIFS(Trades!$I$9:$I$59,Trades!$C$9:$C$59,$C53,Trades!$K$9:$K$59,"&lt;="&amp;I$2)-SUMIFS(Trades!$I$32:$I$59,Trades!$C$32:$C$59,$C53,Trades!$M$32:$M$59,"&lt;="&amp;I$2)</f>
        <v>0</v>
      </c>
      <c r="M53" t="str">
        <f t="shared" si="4"/>
        <v>No</v>
      </c>
      <c r="N53" s="252" t="s">
        <v>46</v>
      </c>
      <c r="O53" s="303">
        <f>SUMIFS(Trades!$O$9:$O$59,Trades!$C$9:$C$59,C53,Trades!$G$9:$G$59,"Buy")</f>
        <v>0</v>
      </c>
      <c r="P53" s="303">
        <f>SUMIFS(Trades!$I$9:$I$59,Trades!$C$9:$C$59,$C53,Trades!$G$9:$G$59,"Buy")</f>
        <v>0</v>
      </c>
      <c r="Q53" s="62" t="str">
        <f t="shared" si="2"/>
        <v/>
      </c>
      <c r="R53">
        <f>SUMIFS(Trades!$O$9:$O$59,Trades!$C$9:$C$59,$C53,Trades!$G$9:$G$59,"Sell")</f>
        <v>0</v>
      </c>
      <c r="S53">
        <f>SUMIFS(Trades!$I$9:$I$59,Trades!$C$9:$C$59,$C53,Trades!$G$9:$G$59,"Sell")</f>
        <v>0</v>
      </c>
      <c r="T53" t="str">
        <f t="shared" si="3"/>
        <v/>
      </c>
    </row>
    <row r="54" spans="1:20" x14ac:dyDescent="0.2">
      <c r="A54" s="1" t="str">
        <f>IF(B54="Yes",COUNTIF($B$3:B54,"Yes"),"")</f>
        <v/>
      </c>
      <c r="B54" t="str">
        <f t="shared" si="1"/>
        <v>No</v>
      </c>
      <c r="C54" s="252" t="s">
        <v>79</v>
      </c>
      <c r="D54">
        <f>SUMIFS(Trades!$I$9:$I$59,Trades!$C$9:$C$59,$C54,Trades!$K$9:$K$59,"&lt;="&amp;D$2)-SUMIFS(Trades!$I$32:$I$59,Trades!$C$32:$C$59,$C54,Trades!$M$32:$M$59,"&lt;="&amp;D$2)</f>
        <v>0</v>
      </c>
      <c r="E54">
        <f>SUMIFS(Trades!$I$9:$I$59,Trades!$C$9:$C$59,$C54,Trades!$K$9:$K$59,"&lt;="&amp;E$2)-SUMIFS(Trades!$I$32:$I$59,Trades!$C$32:$C$59,$C54,Trades!$M$32:$M$59,"&lt;="&amp;E$2)</f>
        <v>0</v>
      </c>
      <c r="F54">
        <f>SUMIFS(Trades!$I$9:$I$59,Trades!$C$9:$C$59,$C54,Trades!$K$9:$K$59,"&lt;="&amp;F$2)-SUMIFS(Trades!$I$32:$I$59,Trades!$C$32:$C$59,$C54,Trades!$M$32:$M$59,"&lt;="&amp;F$2)</f>
        <v>0</v>
      </c>
      <c r="G54">
        <f>SUMIFS(Trades!$I$9:$I$59,Trades!$C$9:$C$59,$C54,Trades!$K$9:$K$59,"&lt;="&amp;G$2)-SUMIFS(Trades!$I$32:$I$59,Trades!$C$32:$C$59,$C54,Trades!$M$32:$M$59,"&lt;="&amp;G$2)</f>
        <v>0</v>
      </c>
      <c r="H54">
        <f>SUMIFS(Trades!$I$9:$I$59,Trades!$C$9:$C$59,$C54,Trades!$K$9:$K$59,"&lt;="&amp;H$2)-SUMIFS(Trades!$I$32:$I$59,Trades!$C$32:$C$59,$C54,Trades!$M$32:$M$59,"&lt;="&amp;H$2)</f>
        <v>0</v>
      </c>
      <c r="I54">
        <f>SUMIFS(Trades!$I$9:$I$59,Trades!$C$9:$C$59,$C54,Trades!$K$9:$K$59,"&lt;="&amp;I$2)-SUMIFS(Trades!$I$32:$I$59,Trades!$C$32:$C$59,$C54,Trades!$M$32:$M$59,"&lt;="&amp;I$2)</f>
        <v>0</v>
      </c>
      <c r="M54" t="str">
        <f t="shared" si="4"/>
        <v>No</v>
      </c>
      <c r="N54" s="252" t="s">
        <v>79</v>
      </c>
      <c r="O54" s="303">
        <f>SUMIFS(Trades!$O$9:$O$59,Trades!$C$9:$C$59,C54,Trades!$G$9:$G$59,"Buy")</f>
        <v>0</v>
      </c>
      <c r="P54" s="303">
        <f>SUMIFS(Trades!$I$9:$I$59,Trades!$C$9:$C$59,$C54,Trades!$G$9:$G$59,"Buy")</f>
        <v>0</v>
      </c>
      <c r="Q54" s="62" t="str">
        <f t="shared" si="2"/>
        <v/>
      </c>
      <c r="R54">
        <f>SUMIFS(Trades!$O$9:$O$59,Trades!$C$9:$C$59,$C54,Trades!$G$9:$G$59,"Sell")</f>
        <v>0</v>
      </c>
      <c r="S54">
        <f>SUMIFS(Trades!$I$9:$I$59,Trades!$C$9:$C$59,$C54,Trades!$G$9:$G$59,"Sell")</f>
        <v>0</v>
      </c>
      <c r="T54" t="str">
        <f t="shared" si="3"/>
        <v/>
      </c>
    </row>
    <row r="55" spans="1:20" x14ac:dyDescent="0.2">
      <c r="A55" s="1" t="str">
        <f>IF(B55="Yes",COUNTIF($B$3:B55,"Yes"),"")</f>
        <v/>
      </c>
      <c r="B55" t="str">
        <f t="shared" si="1"/>
        <v>No</v>
      </c>
      <c r="C55" s="252" t="s">
        <v>102</v>
      </c>
      <c r="D55">
        <f>SUMIFS(Trades!$I$9:$I$59,Trades!$C$9:$C$59,$C55,Trades!$K$9:$K$59,"&lt;="&amp;D$2)-SUMIFS(Trades!$I$32:$I$59,Trades!$C$32:$C$59,$C55,Trades!$M$32:$M$59,"&lt;="&amp;D$2)</f>
        <v>0</v>
      </c>
      <c r="E55">
        <f>SUMIFS(Trades!$I$9:$I$59,Trades!$C$9:$C$59,$C55,Trades!$K$9:$K$59,"&lt;="&amp;E$2)-SUMIFS(Trades!$I$32:$I$59,Trades!$C$32:$C$59,$C55,Trades!$M$32:$M$59,"&lt;="&amp;E$2)</f>
        <v>0</v>
      </c>
      <c r="F55">
        <f>SUMIFS(Trades!$I$9:$I$59,Trades!$C$9:$C$59,$C55,Trades!$K$9:$K$59,"&lt;="&amp;F$2)-SUMIFS(Trades!$I$32:$I$59,Trades!$C$32:$C$59,$C55,Trades!$M$32:$M$59,"&lt;="&amp;F$2)</f>
        <v>0</v>
      </c>
      <c r="G55">
        <f>SUMIFS(Trades!$I$9:$I$59,Trades!$C$9:$C$59,$C55,Trades!$K$9:$K$59,"&lt;="&amp;G$2)-SUMIFS(Trades!$I$32:$I$59,Trades!$C$32:$C$59,$C55,Trades!$M$32:$M$59,"&lt;="&amp;G$2)</f>
        <v>0</v>
      </c>
      <c r="H55">
        <f>SUMIFS(Trades!$I$9:$I$59,Trades!$C$9:$C$59,$C55,Trades!$K$9:$K$59,"&lt;="&amp;H$2)-SUMIFS(Trades!$I$32:$I$59,Trades!$C$32:$C$59,$C55,Trades!$M$32:$M$59,"&lt;="&amp;H$2)</f>
        <v>0</v>
      </c>
      <c r="I55">
        <f>SUMIFS(Trades!$I$9:$I$59,Trades!$C$9:$C$59,$C55,Trades!$K$9:$K$59,"&lt;="&amp;I$2)-SUMIFS(Trades!$I$32:$I$59,Trades!$C$32:$C$59,$C55,Trades!$M$32:$M$59,"&lt;="&amp;I$2)</f>
        <v>0</v>
      </c>
      <c r="M55" t="str">
        <f t="shared" si="4"/>
        <v>No</v>
      </c>
      <c r="N55" s="252" t="s">
        <v>102</v>
      </c>
      <c r="O55" s="303">
        <f>SUMIFS(Trades!$O$9:$O$59,Trades!$C$9:$C$59,C55,Trades!$G$9:$G$59,"Buy")</f>
        <v>0</v>
      </c>
      <c r="P55" s="303">
        <f>SUMIFS(Trades!$I$9:$I$59,Trades!$C$9:$C$59,$C55,Trades!$G$9:$G$59,"Buy")</f>
        <v>0</v>
      </c>
      <c r="Q55" s="62" t="str">
        <f t="shared" si="2"/>
        <v/>
      </c>
      <c r="R55">
        <f>SUMIFS(Trades!$O$9:$O$59,Trades!$C$9:$C$59,$C55,Trades!$G$9:$G$59,"Sell")</f>
        <v>0</v>
      </c>
      <c r="S55">
        <f>SUMIFS(Trades!$I$9:$I$59,Trades!$C$9:$C$59,$C55,Trades!$G$9:$G$59,"Sell")</f>
        <v>0</v>
      </c>
      <c r="T55" t="str">
        <f t="shared" si="3"/>
        <v/>
      </c>
    </row>
    <row r="56" spans="1:20" x14ac:dyDescent="0.2">
      <c r="A56" s="1" t="str">
        <f>IF(B56="Yes",COUNTIF($B$3:B56,"Yes"),"")</f>
        <v/>
      </c>
      <c r="B56" t="str">
        <f t="shared" si="1"/>
        <v>No</v>
      </c>
      <c r="C56" s="252" t="s">
        <v>109</v>
      </c>
      <c r="D56">
        <f>SUMIFS(Trades!$I$9:$I$59,Trades!$C$9:$C$59,$C56,Trades!$K$9:$K$59,"&lt;="&amp;D$2)-SUMIFS(Trades!$I$32:$I$59,Trades!$C$32:$C$59,$C56,Trades!$M$32:$M$59,"&lt;="&amp;D$2)</f>
        <v>0</v>
      </c>
      <c r="E56">
        <f>SUMIFS(Trades!$I$9:$I$59,Trades!$C$9:$C$59,$C56,Trades!$K$9:$K$59,"&lt;="&amp;E$2)-SUMIFS(Trades!$I$32:$I$59,Trades!$C$32:$C$59,$C56,Trades!$M$32:$M$59,"&lt;="&amp;E$2)</f>
        <v>0</v>
      </c>
      <c r="F56">
        <f>SUMIFS(Trades!$I$9:$I$59,Trades!$C$9:$C$59,$C56,Trades!$K$9:$K$59,"&lt;="&amp;F$2)-SUMIFS(Trades!$I$32:$I$59,Trades!$C$32:$C$59,$C56,Trades!$M$32:$M$59,"&lt;="&amp;F$2)</f>
        <v>0</v>
      </c>
      <c r="G56">
        <f>SUMIFS(Trades!$I$9:$I$59,Trades!$C$9:$C$59,$C56,Trades!$K$9:$K$59,"&lt;="&amp;G$2)-SUMIFS(Trades!$I$32:$I$59,Trades!$C$32:$C$59,$C56,Trades!$M$32:$M$59,"&lt;="&amp;G$2)</f>
        <v>0</v>
      </c>
      <c r="H56">
        <f>SUMIFS(Trades!$I$9:$I$59,Trades!$C$9:$C$59,$C56,Trades!$K$9:$K$59,"&lt;="&amp;H$2)-SUMIFS(Trades!$I$32:$I$59,Trades!$C$32:$C$59,$C56,Trades!$M$32:$M$59,"&lt;="&amp;H$2)</f>
        <v>0</v>
      </c>
      <c r="I56">
        <f>SUMIFS(Trades!$I$9:$I$59,Trades!$C$9:$C$59,$C56,Trades!$K$9:$K$59,"&lt;="&amp;I$2)-SUMIFS(Trades!$I$32:$I$59,Trades!$C$32:$C$59,$C56,Trades!$M$32:$M$59,"&lt;="&amp;I$2)</f>
        <v>0</v>
      </c>
      <c r="M56" t="str">
        <f t="shared" si="4"/>
        <v>No</v>
      </c>
      <c r="N56" s="252" t="s">
        <v>109</v>
      </c>
      <c r="O56" s="303">
        <f>SUMIFS(Trades!$O$9:$O$59,Trades!$C$9:$C$59,C56,Trades!$G$9:$G$59,"Buy")</f>
        <v>0</v>
      </c>
      <c r="P56" s="303">
        <f>SUMIFS(Trades!$I$9:$I$59,Trades!$C$9:$C$59,$C56,Trades!$G$9:$G$59,"Buy")</f>
        <v>0</v>
      </c>
      <c r="Q56" s="62" t="str">
        <f t="shared" si="2"/>
        <v/>
      </c>
      <c r="R56">
        <f>SUMIFS(Trades!$O$9:$O$59,Trades!$C$9:$C$59,$C56,Trades!$G$9:$G$59,"Sell")</f>
        <v>0</v>
      </c>
      <c r="S56">
        <f>SUMIFS(Trades!$I$9:$I$59,Trades!$C$9:$C$59,$C56,Trades!$G$9:$G$59,"Sell")</f>
        <v>0</v>
      </c>
      <c r="T56" t="str">
        <f t="shared" si="3"/>
        <v/>
      </c>
    </row>
    <row r="57" spans="1:20" x14ac:dyDescent="0.2">
      <c r="A57" s="1" t="str">
        <f>IF(B57="Yes",COUNTIF($B$3:B57,"Yes"),"")</f>
        <v/>
      </c>
      <c r="B57" t="str">
        <f t="shared" si="1"/>
        <v>No</v>
      </c>
      <c r="C57" s="252" t="s">
        <v>47</v>
      </c>
      <c r="D57">
        <f>SUMIFS(Trades!$I$9:$I$59,Trades!$C$9:$C$59,$C57,Trades!$K$9:$K$59,"&lt;="&amp;D$2)-SUMIFS(Trades!$I$32:$I$59,Trades!$C$32:$C$59,$C57,Trades!$M$32:$M$59,"&lt;="&amp;D$2)</f>
        <v>0</v>
      </c>
      <c r="E57">
        <f>SUMIFS(Trades!$I$9:$I$59,Trades!$C$9:$C$59,$C57,Trades!$K$9:$K$59,"&lt;="&amp;E$2)-SUMIFS(Trades!$I$32:$I$59,Trades!$C$32:$C$59,$C57,Trades!$M$32:$M$59,"&lt;="&amp;E$2)</f>
        <v>0</v>
      </c>
      <c r="F57">
        <f>SUMIFS(Trades!$I$9:$I$59,Trades!$C$9:$C$59,$C57,Trades!$K$9:$K$59,"&lt;="&amp;F$2)-SUMIFS(Trades!$I$32:$I$59,Trades!$C$32:$C$59,$C57,Trades!$M$32:$M$59,"&lt;="&amp;F$2)</f>
        <v>0</v>
      </c>
      <c r="G57">
        <f>SUMIFS(Trades!$I$9:$I$59,Trades!$C$9:$C$59,$C57,Trades!$K$9:$K$59,"&lt;="&amp;G$2)-SUMIFS(Trades!$I$32:$I$59,Trades!$C$32:$C$59,$C57,Trades!$M$32:$M$59,"&lt;="&amp;G$2)</f>
        <v>0</v>
      </c>
      <c r="H57">
        <f>SUMIFS(Trades!$I$9:$I$59,Trades!$C$9:$C$59,$C57,Trades!$K$9:$K$59,"&lt;="&amp;H$2)-SUMIFS(Trades!$I$32:$I$59,Trades!$C$32:$C$59,$C57,Trades!$M$32:$M$59,"&lt;="&amp;H$2)</f>
        <v>0</v>
      </c>
      <c r="I57">
        <f>SUMIFS(Trades!$I$9:$I$59,Trades!$C$9:$C$59,$C57,Trades!$K$9:$K$59,"&lt;="&amp;I$2)-SUMIFS(Trades!$I$32:$I$59,Trades!$C$32:$C$59,$C57,Trades!$M$32:$M$59,"&lt;="&amp;I$2)</f>
        <v>0</v>
      </c>
      <c r="M57" t="str">
        <f t="shared" si="4"/>
        <v>No</v>
      </c>
      <c r="N57" s="252" t="s">
        <v>47</v>
      </c>
      <c r="O57" s="303">
        <f>SUMIFS(Trades!$O$9:$O$59,Trades!$C$9:$C$59,C57,Trades!$G$9:$G$59,"Buy")</f>
        <v>0</v>
      </c>
      <c r="P57" s="303">
        <f>SUMIFS(Trades!$I$9:$I$59,Trades!$C$9:$C$59,$C57,Trades!$G$9:$G$59,"Buy")</f>
        <v>0</v>
      </c>
      <c r="Q57" s="62" t="str">
        <f t="shared" si="2"/>
        <v/>
      </c>
      <c r="R57">
        <f>SUMIFS(Trades!$O$9:$O$59,Trades!$C$9:$C$59,$C57,Trades!$G$9:$G$59,"Sell")</f>
        <v>0</v>
      </c>
      <c r="S57">
        <f>SUMIFS(Trades!$I$9:$I$59,Trades!$C$9:$C$59,$C57,Trades!$G$9:$G$59,"Sell")</f>
        <v>0</v>
      </c>
      <c r="T57" t="str">
        <f t="shared" si="3"/>
        <v/>
      </c>
    </row>
    <row r="58" spans="1:20" x14ac:dyDescent="0.2">
      <c r="A58" s="1" t="str">
        <f>IF(B58="Yes",COUNTIF($B$3:B58,"Yes"),"")</f>
        <v/>
      </c>
      <c r="B58" t="str">
        <f t="shared" si="1"/>
        <v>No</v>
      </c>
      <c r="C58" s="252" t="s">
        <v>68</v>
      </c>
      <c r="D58">
        <f>SUMIFS(Trades!$I$9:$I$59,Trades!$C$9:$C$59,$C58,Trades!$K$9:$K$59,"&lt;="&amp;D$2)-SUMIFS(Trades!$I$32:$I$59,Trades!$C$32:$C$59,$C58,Trades!$M$32:$M$59,"&lt;="&amp;D$2)</f>
        <v>0</v>
      </c>
      <c r="E58">
        <f>SUMIFS(Trades!$I$9:$I$59,Trades!$C$9:$C$59,$C58,Trades!$K$9:$K$59,"&lt;="&amp;E$2)-SUMIFS(Trades!$I$32:$I$59,Trades!$C$32:$C$59,$C58,Trades!$M$32:$M$59,"&lt;="&amp;E$2)</f>
        <v>0</v>
      </c>
      <c r="F58">
        <f>SUMIFS(Trades!$I$9:$I$59,Trades!$C$9:$C$59,$C58,Trades!$K$9:$K$59,"&lt;="&amp;F$2)-SUMIFS(Trades!$I$32:$I$59,Trades!$C$32:$C$59,$C58,Trades!$M$32:$M$59,"&lt;="&amp;F$2)</f>
        <v>0</v>
      </c>
      <c r="G58">
        <f>SUMIFS(Trades!$I$9:$I$59,Trades!$C$9:$C$59,$C58,Trades!$K$9:$K$59,"&lt;="&amp;G$2)-SUMIFS(Trades!$I$32:$I$59,Trades!$C$32:$C$59,$C58,Trades!$M$32:$M$59,"&lt;="&amp;G$2)</f>
        <v>0</v>
      </c>
      <c r="H58">
        <f>SUMIFS(Trades!$I$9:$I$59,Trades!$C$9:$C$59,$C58,Trades!$K$9:$K$59,"&lt;="&amp;H$2)-SUMIFS(Trades!$I$32:$I$59,Trades!$C$32:$C$59,$C58,Trades!$M$32:$M$59,"&lt;="&amp;H$2)</f>
        <v>0</v>
      </c>
      <c r="I58">
        <f>SUMIFS(Trades!$I$9:$I$59,Trades!$C$9:$C$59,$C58,Trades!$K$9:$K$59,"&lt;="&amp;I$2)-SUMIFS(Trades!$I$32:$I$59,Trades!$C$32:$C$59,$C58,Trades!$M$32:$M$59,"&lt;="&amp;I$2)</f>
        <v>0</v>
      </c>
      <c r="M58" t="str">
        <f t="shared" si="4"/>
        <v>No</v>
      </c>
      <c r="N58" s="252" t="s">
        <v>68</v>
      </c>
      <c r="O58" s="303">
        <f>SUMIFS(Trades!$O$9:$O$59,Trades!$C$9:$C$59,C58,Trades!$G$9:$G$59,"Buy")</f>
        <v>0</v>
      </c>
      <c r="P58" s="303">
        <f>SUMIFS(Trades!$I$9:$I$59,Trades!$C$9:$C$59,$C58,Trades!$G$9:$G$59,"Buy")</f>
        <v>0</v>
      </c>
      <c r="Q58" s="62" t="str">
        <f t="shared" si="2"/>
        <v/>
      </c>
      <c r="R58">
        <f>SUMIFS(Trades!$O$9:$O$59,Trades!$C$9:$C$59,$C58,Trades!$G$9:$G$59,"Sell")</f>
        <v>0</v>
      </c>
      <c r="S58">
        <f>SUMIFS(Trades!$I$9:$I$59,Trades!$C$9:$C$59,$C58,Trades!$G$9:$G$59,"Sell")</f>
        <v>0</v>
      </c>
      <c r="T58" t="str">
        <f t="shared" si="3"/>
        <v/>
      </c>
    </row>
    <row r="59" spans="1:20" x14ac:dyDescent="0.2">
      <c r="A59" s="1">
        <f>IF(B59="Yes",COUNTIF($B$3:B59,"Yes"),"")</f>
        <v>4</v>
      </c>
      <c r="B59" t="str">
        <f t="shared" si="1"/>
        <v>Yes</v>
      </c>
      <c r="C59" s="252" t="s">
        <v>52</v>
      </c>
      <c r="D59">
        <f>SUMIFS(Trades!$I$9:$I$59,Trades!$C$9:$C$59,$C59,Trades!$K$9:$K$59,"&lt;="&amp;D$2)-SUMIFS(Trades!$I$32:$I$59,Trades!$C$32:$C$59,$C59,Trades!$M$32:$M$59,"&lt;="&amp;D$2)</f>
        <v>0</v>
      </c>
      <c r="E59">
        <f>SUMIFS(Trades!$I$9:$I$59,Trades!$C$9:$C$59,$C59,Trades!$K$9:$K$59,"&lt;="&amp;E$2)-SUMIFS(Trades!$I$32:$I$59,Trades!$C$32:$C$59,$C59,Trades!$M$32:$M$59,"&lt;="&amp;E$2)</f>
        <v>3583</v>
      </c>
      <c r="F59">
        <f>SUMIFS(Trades!$I$9:$I$59,Trades!$C$9:$C$59,$C59,Trades!$K$9:$K$59,"&lt;="&amp;F$2)-SUMIFS(Trades!$I$32:$I$59,Trades!$C$32:$C$59,$C59,Trades!$M$32:$M$59,"&lt;="&amp;F$2)</f>
        <v>1633</v>
      </c>
      <c r="G59">
        <f>SUMIFS(Trades!$I$9:$I$59,Trades!$C$9:$C$59,$C59,Trades!$K$9:$K$59,"&lt;="&amp;G$2)-SUMIFS(Trades!$I$32:$I$59,Trades!$C$32:$C$59,$C59,Trades!$M$32:$M$59,"&lt;="&amp;G$2)</f>
        <v>1633</v>
      </c>
      <c r="H59">
        <f>SUMIFS(Trades!$I$9:$I$59,Trades!$C$9:$C$59,$C59,Trades!$K$9:$K$59,"&lt;="&amp;H$2)-SUMIFS(Trades!$I$32:$I$59,Trades!$C$32:$C$59,$C59,Trades!$M$32:$M$59,"&lt;="&amp;H$2)</f>
        <v>1633</v>
      </c>
      <c r="I59">
        <f>SUMIFS(Trades!$I$9:$I$59,Trades!$C$9:$C$59,$C59,Trades!$K$9:$K$59,"&lt;="&amp;I$2)-SUMIFS(Trades!$I$32:$I$59,Trades!$C$32:$C$59,$C59,Trades!$M$32:$M$59,"&lt;="&amp;I$2)</f>
        <v>1633</v>
      </c>
      <c r="M59" t="str">
        <f t="shared" si="4"/>
        <v>No</v>
      </c>
      <c r="N59" s="252" t="s">
        <v>52</v>
      </c>
      <c r="O59" s="303">
        <f>SUMIFS(Trades!$O$9:$O$59,Trades!$C$9:$C$59,C59,Trades!$G$9:$G$59,"Buy")</f>
        <v>-349951.61</v>
      </c>
      <c r="P59" s="303">
        <f>SUMIFS(Trades!$I$9:$I$59,Trades!$C$9:$C$59,$C59,Trades!$G$9:$G$59,"Buy")</f>
        <v>3583</v>
      </c>
      <c r="Q59" s="62">
        <f t="shared" si="2"/>
        <v>97.67</v>
      </c>
      <c r="R59">
        <f>SUMIFS(Trades!$O$9:$O$59,Trades!$C$9:$C$59,$C59,Trades!$G$9:$G$59,"Sell")</f>
        <v>198003</v>
      </c>
      <c r="S59">
        <f>SUMIFS(Trades!$I$9:$I$59,Trades!$C$9:$C$59,$C59,Trades!$G$9:$G$59,"Sell")</f>
        <v>1950</v>
      </c>
      <c r="T59">
        <f t="shared" si="3"/>
        <v>101.54</v>
      </c>
    </row>
    <row r="60" spans="1:20" x14ac:dyDescent="0.2">
      <c r="A60" s="1" t="str">
        <f>IF(B60="Yes",COUNTIF($B$3:B60,"Yes"),"")</f>
        <v/>
      </c>
      <c r="B60" t="str">
        <f t="shared" si="1"/>
        <v>No</v>
      </c>
      <c r="C60" s="252" t="s">
        <v>73</v>
      </c>
      <c r="D60">
        <f>SUMIFS(Trades!$I$9:$I$59,Trades!$C$9:$C$59,$C60,Trades!$K$9:$K$59,"&lt;="&amp;D$2)-SUMIFS(Trades!$I$32:$I$59,Trades!$C$32:$C$59,$C60,Trades!$M$32:$M$59,"&lt;="&amp;D$2)</f>
        <v>0</v>
      </c>
      <c r="E60">
        <f>SUMIFS(Trades!$I$9:$I$59,Trades!$C$9:$C$59,$C60,Trades!$K$9:$K$59,"&lt;="&amp;E$2)-SUMIFS(Trades!$I$32:$I$59,Trades!$C$32:$C$59,$C60,Trades!$M$32:$M$59,"&lt;="&amp;E$2)</f>
        <v>0</v>
      </c>
      <c r="F60">
        <f>SUMIFS(Trades!$I$9:$I$59,Trades!$C$9:$C$59,$C60,Trades!$K$9:$K$59,"&lt;="&amp;F$2)-SUMIFS(Trades!$I$32:$I$59,Trades!$C$32:$C$59,$C60,Trades!$M$32:$M$59,"&lt;="&amp;F$2)</f>
        <v>0</v>
      </c>
      <c r="G60">
        <f>SUMIFS(Trades!$I$9:$I$59,Trades!$C$9:$C$59,$C60,Trades!$K$9:$K$59,"&lt;="&amp;G$2)-SUMIFS(Trades!$I$32:$I$59,Trades!$C$32:$C$59,$C60,Trades!$M$32:$M$59,"&lt;="&amp;G$2)</f>
        <v>0</v>
      </c>
      <c r="H60">
        <f>SUMIFS(Trades!$I$9:$I$59,Trades!$C$9:$C$59,$C60,Trades!$K$9:$K$59,"&lt;="&amp;H$2)-SUMIFS(Trades!$I$32:$I$59,Trades!$C$32:$C$59,$C60,Trades!$M$32:$M$59,"&lt;="&amp;H$2)</f>
        <v>0</v>
      </c>
      <c r="I60">
        <f>SUMIFS(Trades!$I$9:$I$59,Trades!$C$9:$C$59,$C60,Trades!$K$9:$K$59,"&lt;="&amp;I$2)-SUMIFS(Trades!$I$32:$I$59,Trades!$C$32:$C$59,$C60,Trades!$M$32:$M$59,"&lt;="&amp;I$2)</f>
        <v>0</v>
      </c>
      <c r="M60" t="str">
        <f t="shared" si="4"/>
        <v>No</v>
      </c>
      <c r="N60" s="252" t="s">
        <v>73</v>
      </c>
      <c r="O60" s="303">
        <f>SUMIFS(Trades!$O$9:$O$59,Trades!$C$9:$C$59,C60,Trades!$G$9:$G$59,"Buy")</f>
        <v>0</v>
      </c>
      <c r="P60" s="303">
        <f>SUMIFS(Trades!$I$9:$I$59,Trades!$C$9:$C$59,$C60,Trades!$G$9:$G$59,"Buy")</f>
        <v>0</v>
      </c>
      <c r="Q60" s="62" t="str">
        <f t="shared" si="2"/>
        <v/>
      </c>
      <c r="R60">
        <f>SUMIFS(Trades!$O$9:$O$59,Trades!$C$9:$C$59,$C60,Trades!$G$9:$G$59,"Sell")</f>
        <v>0</v>
      </c>
      <c r="S60">
        <f>SUMIFS(Trades!$I$9:$I$59,Trades!$C$9:$C$59,$C60,Trades!$G$9:$G$59,"Sell")</f>
        <v>0</v>
      </c>
      <c r="T60" t="str">
        <f t="shared" si="3"/>
        <v/>
      </c>
    </row>
    <row r="61" spans="1:20" x14ac:dyDescent="0.2">
      <c r="A61" s="1" t="str">
        <f>IF(B61="Yes",COUNTIF($B$3:B61,"Yes"),"")</f>
        <v/>
      </c>
      <c r="B61" t="str">
        <f t="shared" si="1"/>
        <v>No</v>
      </c>
      <c r="C61" s="252" t="s">
        <v>82</v>
      </c>
      <c r="D61">
        <f>SUMIFS(Trades!$I$9:$I$59,Trades!$C$9:$C$59,$C61,Trades!$K$9:$K$59,"&lt;="&amp;D$2)-SUMIFS(Trades!$I$32:$I$59,Trades!$C$32:$C$59,$C61,Trades!$M$32:$M$59,"&lt;="&amp;D$2)</f>
        <v>0</v>
      </c>
      <c r="E61">
        <f>SUMIFS(Trades!$I$9:$I$59,Trades!$C$9:$C$59,$C61,Trades!$K$9:$K$59,"&lt;="&amp;E$2)-SUMIFS(Trades!$I$32:$I$59,Trades!$C$32:$C$59,$C61,Trades!$M$32:$M$59,"&lt;="&amp;E$2)</f>
        <v>0</v>
      </c>
      <c r="F61">
        <f>SUMIFS(Trades!$I$9:$I$59,Trades!$C$9:$C$59,$C61,Trades!$K$9:$K$59,"&lt;="&amp;F$2)-SUMIFS(Trades!$I$32:$I$59,Trades!$C$32:$C$59,$C61,Trades!$M$32:$M$59,"&lt;="&amp;F$2)</f>
        <v>0</v>
      </c>
      <c r="G61">
        <f>SUMIFS(Trades!$I$9:$I$59,Trades!$C$9:$C$59,$C61,Trades!$K$9:$K$59,"&lt;="&amp;G$2)-SUMIFS(Trades!$I$32:$I$59,Trades!$C$32:$C$59,$C61,Trades!$M$32:$M$59,"&lt;="&amp;G$2)</f>
        <v>0</v>
      </c>
      <c r="H61">
        <f>SUMIFS(Trades!$I$9:$I$59,Trades!$C$9:$C$59,$C61,Trades!$K$9:$K$59,"&lt;="&amp;H$2)-SUMIFS(Trades!$I$32:$I$59,Trades!$C$32:$C$59,$C61,Trades!$M$32:$M$59,"&lt;="&amp;H$2)</f>
        <v>0</v>
      </c>
      <c r="I61">
        <f>SUMIFS(Trades!$I$9:$I$59,Trades!$C$9:$C$59,$C61,Trades!$K$9:$K$59,"&lt;="&amp;I$2)-SUMIFS(Trades!$I$32:$I$59,Trades!$C$32:$C$59,$C61,Trades!$M$32:$M$59,"&lt;="&amp;I$2)</f>
        <v>0</v>
      </c>
      <c r="M61" t="str">
        <f t="shared" si="4"/>
        <v>No</v>
      </c>
      <c r="N61" s="252" t="s">
        <v>82</v>
      </c>
      <c r="O61" s="303">
        <f>SUMIFS(Trades!$O$9:$O$59,Trades!$C$9:$C$59,C61,Trades!$G$9:$G$59,"Buy")</f>
        <v>0</v>
      </c>
      <c r="P61" s="303">
        <f>SUMIFS(Trades!$I$9:$I$59,Trades!$C$9:$C$59,$C61,Trades!$G$9:$G$59,"Buy")</f>
        <v>0</v>
      </c>
      <c r="Q61" s="62" t="str">
        <f t="shared" si="2"/>
        <v/>
      </c>
      <c r="R61">
        <f>SUMIFS(Trades!$O$9:$O$59,Trades!$C$9:$C$59,$C61,Trades!$G$9:$G$59,"Sell")</f>
        <v>0</v>
      </c>
      <c r="S61">
        <f>SUMIFS(Trades!$I$9:$I$59,Trades!$C$9:$C$59,$C61,Trades!$G$9:$G$59,"Sell")</f>
        <v>0</v>
      </c>
      <c r="T61" t="str">
        <f t="shared" si="3"/>
        <v/>
      </c>
    </row>
    <row r="62" spans="1:20" x14ac:dyDescent="0.2">
      <c r="A62" s="1" t="str">
        <f>IF(B62="Yes",COUNTIF($B$3:B62,"Yes"),"")</f>
        <v/>
      </c>
      <c r="B62" t="str">
        <f t="shared" si="1"/>
        <v>No</v>
      </c>
      <c r="C62" s="252" t="s">
        <v>58</v>
      </c>
      <c r="D62">
        <f>SUMIFS(Trades!$I$9:$I$59,Trades!$C$9:$C$59,$C62,Trades!$K$9:$K$59,"&lt;="&amp;D$2)-SUMIFS(Trades!$I$32:$I$59,Trades!$C$32:$C$59,$C62,Trades!$M$32:$M$59,"&lt;="&amp;D$2)</f>
        <v>0</v>
      </c>
      <c r="E62">
        <f>SUMIFS(Trades!$I$9:$I$59,Trades!$C$9:$C$59,$C62,Trades!$K$9:$K$59,"&lt;="&amp;E$2)-SUMIFS(Trades!$I$32:$I$59,Trades!$C$32:$C$59,$C62,Trades!$M$32:$M$59,"&lt;="&amp;E$2)</f>
        <v>0</v>
      </c>
      <c r="F62">
        <f>SUMIFS(Trades!$I$9:$I$59,Trades!$C$9:$C$59,$C62,Trades!$K$9:$K$59,"&lt;="&amp;F$2)-SUMIFS(Trades!$I$32:$I$59,Trades!$C$32:$C$59,$C62,Trades!$M$32:$M$59,"&lt;="&amp;F$2)</f>
        <v>0</v>
      </c>
      <c r="G62">
        <f>SUMIFS(Trades!$I$9:$I$59,Trades!$C$9:$C$59,$C62,Trades!$K$9:$K$59,"&lt;="&amp;G$2)-SUMIFS(Trades!$I$32:$I$59,Trades!$C$32:$C$59,$C62,Trades!$M$32:$M$59,"&lt;="&amp;G$2)</f>
        <v>0</v>
      </c>
      <c r="H62">
        <f>SUMIFS(Trades!$I$9:$I$59,Trades!$C$9:$C$59,$C62,Trades!$K$9:$K$59,"&lt;="&amp;H$2)-SUMIFS(Trades!$I$32:$I$59,Trades!$C$32:$C$59,$C62,Trades!$M$32:$M$59,"&lt;="&amp;H$2)</f>
        <v>0</v>
      </c>
      <c r="I62">
        <f>SUMIFS(Trades!$I$9:$I$59,Trades!$C$9:$C$59,$C62,Trades!$K$9:$K$59,"&lt;="&amp;I$2)-SUMIFS(Trades!$I$32:$I$59,Trades!$C$32:$C$59,$C62,Trades!$M$32:$M$59,"&lt;="&amp;I$2)</f>
        <v>0</v>
      </c>
      <c r="M62" t="str">
        <f t="shared" si="4"/>
        <v>No</v>
      </c>
      <c r="N62" s="252" t="s">
        <v>58</v>
      </c>
      <c r="O62" s="303">
        <f>SUMIFS(Trades!$O$9:$O$59,Trades!$C$9:$C$59,C62,Trades!$G$9:$G$59,"Buy")</f>
        <v>0</v>
      </c>
      <c r="P62" s="303">
        <f>SUMIFS(Trades!$I$9:$I$59,Trades!$C$9:$C$59,$C62,Trades!$G$9:$G$59,"Buy")</f>
        <v>0</v>
      </c>
      <c r="Q62" s="62" t="str">
        <f t="shared" si="2"/>
        <v/>
      </c>
      <c r="R62">
        <f>SUMIFS(Trades!$O$9:$O$59,Trades!$C$9:$C$59,$C62,Trades!$G$9:$G$59,"Sell")</f>
        <v>0</v>
      </c>
      <c r="S62">
        <f>SUMIFS(Trades!$I$9:$I$59,Trades!$C$9:$C$59,$C62,Trades!$G$9:$G$59,"Sell")</f>
        <v>0</v>
      </c>
      <c r="T62" t="str">
        <f t="shared" si="3"/>
        <v/>
      </c>
    </row>
    <row r="63" spans="1:20" x14ac:dyDescent="0.2">
      <c r="A63" s="1" t="str">
        <f>IF(B63="Yes",COUNTIF($B$3:B63,"Yes"),"")</f>
        <v/>
      </c>
      <c r="B63" t="str">
        <f t="shared" si="1"/>
        <v>No</v>
      </c>
      <c r="C63" s="252" t="s">
        <v>60</v>
      </c>
      <c r="D63">
        <f>SUMIFS(Trades!$I$9:$I$59,Trades!$C$9:$C$59,$C63,Trades!$K$9:$K$59,"&lt;="&amp;D$2)-SUMIFS(Trades!$I$32:$I$59,Trades!$C$32:$C$59,$C63,Trades!$M$32:$M$59,"&lt;="&amp;D$2)</f>
        <v>0</v>
      </c>
      <c r="E63">
        <f>SUMIFS(Trades!$I$9:$I$59,Trades!$C$9:$C$59,$C63,Trades!$K$9:$K$59,"&lt;="&amp;E$2)-SUMIFS(Trades!$I$32:$I$59,Trades!$C$32:$C$59,$C63,Trades!$M$32:$M$59,"&lt;="&amp;E$2)</f>
        <v>0</v>
      </c>
      <c r="F63">
        <f>SUMIFS(Trades!$I$9:$I$59,Trades!$C$9:$C$59,$C63,Trades!$K$9:$K$59,"&lt;="&amp;F$2)-SUMIFS(Trades!$I$32:$I$59,Trades!$C$32:$C$59,$C63,Trades!$M$32:$M$59,"&lt;="&amp;F$2)</f>
        <v>0</v>
      </c>
      <c r="G63">
        <f>SUMIFS(Trades!$I$9:$I$59,Trades!$C$9:$C$59,$C63,Trades!$K$9:$K$59,"&lt;="&amp;G$2)-SUMIFS(Trades!$I$32:$I$59,Trades!$C$32:$C$59,$C63,Trades!$M$32:$M$59,"&lt;="&amp;G$2)</f>
        <v>0</v>
      </c>
      <c r="H63">
        <f>SUMIFS(Trades!$I$9:$I$59,Trades!$C$9:$C$59,$C63,Trades!$K$9:$K$59,"&lt;="&amp;H$2)-SUMIFS(Trades!$I$32:$I$59,Trades!$C$32:$C$59,$C63,Trades!$M$32:$M$59,"&lt;="&amp;H$2)</f>
        <v>0</v>
      </c>
      <c r="I63">
        <f>SUMIFS(Trades!$I$9:$I$59,Trades!$C$9:$C$59,$C63,Trades!$K$9:$K$59,"&lt;="&amp;I$2)-SUMIFS(Trades!$I$32:$I$59,Trades!$C$32:$C$59,$C63,Trades!$M$32:$M$59,"&lt;="&amp;I$2)</f>
        <v>0</v>
      </c>
      <c r="M63" t="str">
        <f t="shared" si="4"/>
        <v>No</v>
      </c>
      <c r="N63" s="252" t="s">
        <v>60</v>
      </c>
      <c r="O63" s="303">
        <f>SUMIFS(Trades!$O$9:$O$59,Trades!$C$9:$C$59,C63,Trades!$G$9:$G$59,"Buy")</f>
        <v>0</v>
      </c>
      <c r="P63" s="303">
        <f>SUMIFS(Trades!$I$9:$I$59,Trades!$C$9:$C$59,$C63,Trades!$G$9:$G$59,"Buy")</f>
        <v>0</v>
      </c>
      <c r="Q63" s="62" t="str">
        <f t="shared" si="2"/>
        <v/>
      </c>
      <c r="R63">
        <f>SUMIFS(Trades!$O$9:$O$59,Trades!$C$9:$C$59,$C63,Trades!$G$9:$G$59,"Sell")</f>
        <v>0</v>
      </c>
      <c r="S63">
        <f>SUMIFS(Trades!$I$9:$I$59,Trades!$C$9:$C$59,$C63,Trades!$G$9:$G$59,"Sell")</f>
        <v>0</v>
      </c>
      <c r="T63" t="str">
        <f t="shared" si="3"/>
        <v/>
      </c>
    </row>
    <row r="64" spans="1:20" x14ac:dyDescent="0.2">
      <c r="A64" s="1" t="str">
        <f>IF(B64="Yes",COUNTIF($B$3:B64,"Yes"),"")</f>
        <v/>
      </c>
      <c r="B64" t="str">
        <f t="shared" si="1"/>
        <v>No</v>
      </c>
      <c r="C64" s="252" t="s">
        <v>66</v>
      </c>
      <c r="D64">
        <f>SUMIFS(Trades!$I$9:$I$59,Trades!$C$9:$C$59,$C64,Trades!$K$9:$K$59,"&lt;="&amp;D$2)-SUMIFS(Trades!$I$32:$I$59,Trades!$C$32:$C$59,$C64,Trades!$M$32:$M$59,"&lt;="&amp;D$2)</f>
        <v>0</v>
      </c>
      <c r="E64">
        <f>SUMIFS(Trades!$I$9:$I$59,Trades!$C$9:$C$59,$C64,Trades!$K$9:$K$59,"&lt;="&amp;E$2)-SUMIFS(Trades!$I$32:$I$59,Trades!$C$32:$C$59,$C64,Trades!$M$32:$M$59,"&lt;="&amp;E$2)</f>
        <v>0</v>
      </c>
      <c r="F64">
        <f>SUMIFS(Trades!$I$9:$I$59,Trades!$C$9:$C$59,$C64,Trades!$K$9:$K$59,"&lt;="&amp;F$2)-SUMIFS(Trades!$I$32:$I$59,Trades!$C$32:$C$59,$C64,Trades!$M$32:$M$59,"&lt;="&amp;F$2)</f>
        <v>0</v>
      </c>
      <c r="G64">
        <f>SUMIFS(Trades!$I$9:$I$59,Trades!$C$9:$C$59,$C64,Trades!$K$9:$K$59,"&lt;="&amp;G$2)-SUMIFS(Trades!$I$32:$I$59,Trades!$C$32:$C$59,$C64,Trades!$M$32:$M$59,"&lt;="&amp;G$2)</f>
        <v>0</v>
      </c>
      <c r="H64">
        <f>SUMIFS(Trades!$I$9:$I$59,Trades!$C$9:$C$59,$C64,Trades!$K$9:$K$59,"&lt;="&amp;H$2)-SUMIFS(Trades!$I$32:$I$59,Trades!$C$32:$C$59,$C64,Trades!$M$32:$M$59,"&lt;="&amp;H$2)</f>
        <v>0</v>
      </c>
      <c r="I64">
        <f>SUMIFS(Trades!$I$9:$I$59,Trades!$C$9:$C$59,$C64,Trades!$K$9:$K$59,"&lt;="&amp;I$2)-SUMIFS(Trades!$I$32:$I$59,Trades!$C$32:$C$59,$C64,Trades!$M$32:$M$59,"&lt;="&amp;I$2)</f>
        <v>0</v>
      </c>
      <c r="M64" t="str">
        <f t="shared" si="4"/>
        <v>No</v>
      </c>
      <c r="N64" s="252" t="s">
        <v>66</v>
      </c>
      <c r="O64" s="303">
        <f>SUMIFS(Trades!$O$9:$O$59,Trades!$C$9:$C$59,C64,Trades!$G$9:$G$59,"Buy")</f>
        <v>0</v>
      </c>
      <c r="P64" s="303">
        <f>SUMIFS(Trades!$I$9:$I$59,Trades!$C$9:$C$59,$C64,Trades!$G$9:$G$59,"Buy")</f>
        <v>0</v>
      </c>
      <c r="Q64" s="62" t="str">
        <f t="shared" si="2"/>
        <v/>
      </c>
      <c r="R64">
        <f>SUMIFS(Trades!$O$9:$O$59,Trades!$C$9:$C$59,$C64,Trades!$G$9:$G$59,"Sell")</f>
        <v>0</v>
      </c>
      <c r="S64">
        <f>SUMIFS(Trades!$I$9:$I$59,Trades!$C$9:$C$59,$C64,Trades!$G$9:$G$59,"Sell")</f>
        <v>0</v>
      </c>
      <c r="T64" t="str">
        <f t="shared" si="3"/>
        <v/>
      </c>
    </row>
    <row r="65" spans="1:20" x14ac:dyDescent="0.2">
      <c r="A65" s="1" t="str">
        <f>IF(B65="Yes",COUNTIF($B$3:B65,"Yes"),"")</f>
        <v/>
      </c>
      <c r="B65" t="str">
        <f t="shared" si="1"/>
        <v>No</v>
      </c>
      <c r="C65" s="252" t="s">
        <v>94</v>
      </c>
      <c r="D65">
        <f>SUMIFS(Trades!$I$9:$I$59,Trades!$C$9:$C$59,$C65,Trades!$K$9:$K$59,"&lt;="&amp;D$2)-SUMIFS(Trades!$I$32:$I$59,Trades!$C$32:$C$59,$C65,Trades!$M$32:$M$59,"&lt;="&amp;D$2)</f>
        <v>0</v>
      </c>
      <c r="E65">
        <f>SUMIFS(Trades!$I$9:$I$59,Trades!$C$9:$C$59,$C65,Trades!$K$9:$K$59,"&lt;="&amp;E$2)-SUMIFS(Trades!$I$32:$I$59,Trades!$C$32:$C$59,$C65,Trades!$M$32:$M$59,"&lt;="&amp;E$2)</f>
        <v>0</v>
      </c>
      <c r="F65">
        <f>SUMIFS(Trades!$I$9:$I$59,Trades!$C$9:$C$59,$C65,Trades!$K$9:$K$59,"&lt;="&amp;F$2)-SUMIFS(Trades!$I$32:$I$59,Trades!$C$32:$C$59,$C65,Trades!$M$32:$M$59,"&lt;="&amp;F$2)</f>
        <v>0</v>
      </c>
      <c r="G65">
        <f>SUMIFS(Trades!$I$9:$I$59,Trades!$C$9:$C$59,$C65,Trades!$K$9:$K$59,"&lt;="&amp;G$2)-SUMIFS(Trades!$I$32:$I$59,Trades!$C$32:$C$59,$C65,Trades!$M$32:$M$59,"&lt;="&amp;G$2)</f>
        <v>0</v>
      </c>
      <c r="H65">
        <f>SUMIFS(Trades!$I$9:$I$59,Trades!$C$9:$C$59,$C65,Trades!$K$9:$K$59,"&lt;="&amp;H$2)-SUMIFS(Trades!$I$32:$I$59,Trades!$C$32:$C$59,$C65,Trades!$M$32:$M$59,"&lt;="&amp;H$2)</f>
        <v>0</v>
      </c>
      <c r="I65">
        <f>SUMIFS(Trades!$I$9:$I$59,Trades!$C$9:$C$59,$C65,Trades!$K$9:$K$59,"&lt;="&amp;I$2)-SUMIFS(Trades!$I$32:$I$59,Trades!$C$32:$C$59,$C65,Trades!$M$32:$M$59,"&lt;="&amp;I$2)</f>
        <v>0</v>
      </c>
      <c r="M65" t="str">
        <f t="shared" si="4"/>
        <v>No</v>
      </c>
      <c r="N65" s="252" t="s">
        <v>94</v>
      </c>
      <c r="O65" s="303">
        <f>SUMIFS(Trades!$O$9:$O$59,Trades!$C$9:$C$59,C65,Trades!$G$9:$G$59,"Buy")</f>
        <v>0</v>
      </c>
      <c r="P65" s="303">
        <f>SUMIFS(Trades!$I$9:$I$59,Trades!$C$9:$C$59,$C65,Trades!$G$9:$G$59,"Buy")</f>
        <v>0</v>
      </c>
      <c r="Q65" s="62" t="str">
        <f t="shared" si="2"/>
        <v/>
      </c>
      <c r="R65">
        <f>SUMIFS(Trades!$O$9:$O$59,Trades!$C$9:$C$59,$C65,Trades!$G$9:$G$59,"Sell")</f>
        <v>0</v>
      </c>
      <c r="S65">
        <f>SUMIFS(Trades!$I$9:$I$59,Trades!$C$9:$C$59,$C65,Trades!$G$9:$G$59,"Sell")</f>
        <v>0</v>
      </c>
      <c r="T65" t="str">
        <f t="shared" si="3"/>
        <v/>
      </c>
    </row>
    <row r="66" spans="1:20" x14ac:dyDescent="0.2">
      <c r="A66" s="1" t="str">
        <f>IF(B66="Yes",COUNTIF($B$3:B66,"Yes"),"")</f>
        <v/>
      </c>
      <c r="B66" t="str">
        <f t="shared" si="1"/>
        <v>No</v>
      </c>
      <c r="C66" s="252" t="s">
        <v>56</v>
      </c>
      <c r="D66">
        <f>SUMIFS(Trades!$I$9:$I$59,Trades!$C$9:$C$59,$C66,Trades!$K$9:$K$59,"&lt;="&amp;D$2)-SUMIFS(Trades!$I$32:$I$59,Trades!$C$32:$C$59,$C66,Trades!$M$32:$M$59,"&lt;="&amp;D$2)</f>
        <v>0</v>
      </c>
      <c r="E66">
        <f>SUMIFS(Trades!$I$9:$I$59,Trades!$C$9:$C$59,$C66,Trades!$K$9:$K$59,"&lt;="&amp;E$2)-SUMIFS(Trades!$I$32:$I$59,Trades!$C$32:$C$59,$C66,Trades!$M$32:$M$59,"&lt;="&amp;E$2)</f>
        <v>0</v>
      </c>
      <c r="F66">
        <f>SUMIFS(Trades!$I$9:$I$59,Trades!$C$9:$C$59,$C66,Trades!$K$9:$K$59,"&lt;="&amp;F$2)-SUMIFS(Trades!$I$32:$I$59,Trades!$C$32:$C$59,$C66,Trades!$M$32:$M$59,"&lt;="&amp;F$2)</f>
        <v>0</v>
      </c>
      <c r="G66">
        <f>SUMIFS(Trades!$I$9:$I$59,Trades!$C$9:$C$59,$C66,Trades!$K$9:$K$59,"&lt;="&amp;G$2)-SUMIFS(Trades!$I$32:$I$59,Trades!$C$32:$C$59,$C66,Trades!$M$32:$M$59,"&lt;="&amp;G$2)</f>
        <v>0</v>
      </c>
      <c r="H66">
        <f>SUMIFS(Trades!$I$9:$I$59,Trades!$C$9:$C$59,$C66,Trades!$K$9:$K$59,"&lt;="&amp;H$2)-SUMIFS(Trades!$I$32:$I$59,Trades!$C$32:$C$59,$C66,Trades!$M$32:$M$59,"&lt;="&amp;H$2)</f>
        <v>0</v>
      </c>
      <c r="I66">
        <f>SUMIFS(Trades!$I$9:$I$59,Trades!$C$9:$C$59,$C66,Trades!$K$9:$K$59,"&lt;="&amp;I$2)-SUMIFS(Trades!$I$32:$I$59,Trades!$C$32:$C$59,$C66,Trades!$M$32:$M$59,"&lt;="&amp;I$2)</f>
        <v>0</v>
      </c>
      <c r="M66" t="str">
        <f t="shared" si="4"/>
        <v>No</v>
      </c>
      <c r="N66" s="252" t="s">
        <v>56</v>
      </c>
      <c r="O66" s="303">
        <f>SUMIFS(Trades!$O$9:$O$59,Trades!$C$9:$C$59,C66,Trades!$G$9:$G$59,"Buy")</f>
        <v>0</v>
      </c>
      <c r="P66" s="303">
        <f>SUMIFS(Trades!$I$9:$I$59,Trades!$C$9:$C$59,$C66,Trades!$G$9:$G$59,"Buy")</f>
        <v>0</v>
      </c>
      <c r="Q66" s="62" t="str">
        <f t="shared" si="2"/>
        <v/>
      </c>
      <c r="R66">
        <f>SUMIFS(Trades!$O$9:$O$59,Trades!$C$9:$C$59,$C66,Trades!$G$9:$G$59,"Sell")</f>
        <v>0</v>
      </c>
      <c r="S66">
        <f>SUMIFS(Trades!$I$9:$I$59,Trades!$C$9:$C$59,$C66,Trades!$G$9:$G$59,"Sell")</f>
        <v>0</v>
      </c>
      <c r="T66" t="str">
        <f t="shared" si="3"/>
        <v/>
      </c>
    </row>
    <row r="67" spans="1:20" x14ac:dyDescent="0.2">
      <c r="A67" s="1" t="str">
        <f>IF(B67="Yes",COUNTIF($B$3:B67,"Yes"),"")</f>
        <v/>
      </c>
      <c r="B67" t="str">
        <f t="shared" si="1"/>
        <v>No</v>
      </c>
      <c r="C67" s="252" t="s">
        <v>96</v>
      </c>
      <c r="D67">
        <f>SUMIFS(Trades!$I$9:$I$59,Trades!$C$9:$C$59,$C67,Trades!$K$9:$K$59,"&lt;="&amp;D$2)-SUMIFS(Trades!$I$32:$I$59,Trades!$C$32:$C$59,$C67,Trades!$M$32:$M$59,"&lt;="&amp;D$2)</f>
        <v>0</v>
      </c>
      <c r="E67">
        <f>SUMIFS(Trades!$I$9:$I$59,Trades!$C$9:$C$59,$C67,Trades!$K$9:$K$59,"&lt;="&amp;E$2)-SUMIFS(Trades!$I$32:$I$59,Trades!$C$32:$C$59,$C67,Trades!$M$32:$M$59,"&lt;="&amp;E$2)</f>
        <v>0</v>
      </c>
      <c r="F67">
        <f>SUMIFS(Trades!$I$9:$I$59,Trades!$C$9:$C$59,$C67,Trades!$K$9:$K$59,"&lt;="&amp;F$2)-SUMIFS(Trades!$I$32:$I$59,Trades!$C$32:$C$59,$C67,Trades!$M$32:$M$59,"&lt;="&amp;F$2)</f>
        <v>0</v>
      </c>
      <c r="G67">
        <f>SUMIFS(Trades!$I$9:$I$59,Trades!$C$9:$C$59,$C67,Trades!$K$9:$K$59,"&lt;="&amp;G$2)-SUMIFS(Trades!$I$32:$I$59,Trades!$C$32:$C$59,$C67,Trades!$M$32:$M$59,"&lt;="&amp;G$2)</f>
        <v>0</v>
      </c>
      <c r="H67">
        <f>SUMIFS(Trades!$I$9:$I$59,Trades!$C$9:$C$59,$C67,Trades!$K$9:$K$59,"&lt;="&amp;H$2)-SUMIFS(Trades!$I$32:$I$59,Trades!$C$32:$C$59,$C67,Trades!$M$32:$M$59,"&lt;="&amp;H$2)</f>
        <v>0</v>
      </c>
      <c r="I67">
        <f>SUMIFS(Trades!$I$9:$I$59,Trades!$C$9:$C$59,$C67,Trades!$K$9:$K$59,"&lt;="&amp;I$2)-SUMIFS(Trades!$I$32:$I$59,Trades!$C$32:$C$59,$C67,Trades!$M$32:$M$59,"&lt;="&amp;I$2)</f>
        <v>0</v>
      </c>
      <c r="M67" t="str">
        <f t="shared" si="4"/>
        <v>No</v>
      </c>
      <c r="N67" s="252" t="s">
        <v>96</v>
      </c>
      <c r="O67" s="303">
        <f>SUMIFS(Trades!$O$9:$O$59,Trades!$C$9:$C$59,C67,Trades!$G$9:$G$59,"Buy")</f>
        <v>0</v>
      </c>
      <c r="P67" s="303">
        <f>SUMIFS(Trades!$I$9:$I$59,Trades!$C$9:$C$59,$C67,Trades!$G$9:$G$59,"Buy")</f>
        <v>0</v>
      </c>
      <c r="Q67" s="62" t="str">
        <f t="shared" si="2"/>
        <v/>
      </c>
      <c r="R67">
        <f>SUMIFS(Trades!$O$9:$O$59,Trades!$C$9:$C$59,$C67,Trades!$G$9:$G$59,"Sell")</f>
        <v>0</v>
      </c>
      <c r="S67">
        <f>SUMIFS(Trades!$I$9:$I$59,Trades!$C$9:$C$59,$C67,Trades!$G$9:$G$59,"Sell")</f>
        <v>0</v>
      </c>
      <c r="T67" t="str">
        <f t="shared" si="3"/>
        <v/>
      </c>
    </row>
    <row r="68" spans="1:20" x14ac:dyDescent="0.2">
      <c r="A68" s="1" t="str">
        <f>IF(B68="Yes",COUNTIF($B$3:B68,"Yes"),"")</f>
        <v/>
      </c>
      <c r="B68" t="str">
        <f t="shared" ref="B68:B69" si="5">IF(SUM(D68:I68)&gt;0,"Yes","No")</f>
        <v>No</v>
      </c>
      <c r="C68" s="252" t="s">
        <v>63</v>
      </c>
      <c r="D68">
        <f>SUMIFS(Trades!$I$9:$I$59,Trades!$C$9:$C$59,$C68,Trades!$K$9:$K$59,"&lt;="&amp;D$2)-SUMIFS(Trades!$I$32:$I$59,Trades!$C$32:$C$59,$C68,Trades!$M$32:$M$59,"&lt;="&amp;D$2)</f>
        <v>0</v>
      </c>
      <c r="E68">
        <f>SUMIFS(Trades!$I$9:$I$59,Trades!$C$9:$C$59,$C68,Trades!$K$9:$K$59,"&lt;="&amp;E$2)-SUMIFS(Trades!$I$32:$I$59,Trades!$C$32:$C$59,$C68,Trades!$M$32:$M$59,"&lt;="&amp;E$2)</f>
        <v>0</v>
      </c>
      <c r="F68">
        <f>SUMIFS(Trades!$I$9:$I$59,Trades!$C$9:$C$59,$C68,Trades!$K$9:$K$59,"&lt;="&amp;F$2)-SUMIFS(Trades!$I$32:$I$59,Trades!$C$32:$C$59,$C68,Trades!$M$32:$M$59,"&lt;="&amp;F$2)</f>
        <v>0</v>
      </c>
      <c r="G68">
        <f>SUMIFS(Trades!$I$9:$I$59,Trades!$C$9:$C$59,$C68,Trades!$K$9:$K$59,"&lt;="&amp;G$2)-SUMIFS(Trades!$I$32:$I$59,Trades!$C$32:$C$59,$C68,Trades!$M$32:$M$59,"&lt;="&amp;G$2)</f>
        <v>0</v>
      </c>
      <c r="H68">
        <f>SUMIFS(Trades!$I$9:$I$59,Trades!$C$9:$C$59,$C68,Trades!$K$9:$K$59,"&lt;="&amp;H$2)-SUMIFS(Trades!$I$32:$I$59,Trades!$C$32:$C$59,$C68,Trades!$M$32:$M$59,"&lt;="&amp;H$2)</f>
        <v>0</v>
      </c>
      <c r="I68">
        <f>SUMIFS(Trades!$I$9:$I$59,Trades!$C$9:$C$59,$C68,Trades!$K$9:$K$59,"&lt;="&amp;I$2)-SUMIFS(Trades!$I$32:$I$59,Trades!$C$32:$C$59,$C68,Trades!$M$32:$M$59,"&lt;="&amp;I$2)</f>
        <v>0</v>
      </c>
      <c r="M68" t="str">
        <f t="shared" si="4"/>
        <v>No</v>
      </c>
      <c r="N68" s="252" t="s">
        <v>63</v>
      </c>
      <c r="O68" s="303">
        <f>SUMIFS(Trades!$O$9:$O$59,Trades!$C$9:$C$59,C68,Trades!$G$9:$G$59,"Buy")</f>
        <v>0</v>
      </c>
      <c r="P68" s="303">
        <f>SUMIFS(Trades!$I$9:$I$59,Trades!$C$9:$C$59,$C68,Trades!$G$9:$G$59,"Buy")</f>
        <v>0</v>
      </c>
      <c r="Q68" s="62" t="str">
        <f t="shared" ref="Q68:Q69" si="6">IF(ISERROR(O68/P68),"",-O68/P68)</f>
        <v/>
      </c>
      <c r="R68">
        <f>SUMIFS(Trades!$O$9:$O$59,Trades!$C$9:$C$59,$C68,Trades!$G$9:$G$59,"Sell")</f>
        <v>0</v>
      </c>
      <c r="S68">
        <f>SUMIFS(Trades!$I$9:$I$59,Trades!$C$9:$C$59,$C68,Trades!$G$9:$G$59,"Sell")</f>
        <v>0</v>
      </c>
      <c r="T68" t="str">
        <f t="shared" ref="T68:T69" si="7">IF(S68=0,"",R68/S68)</f>
        <v/>
      </c>
    </row>
    <row r="69" spans="1:20" x14ac:dyDescent="0.2">
      <c r="A69" s="1" t="str">
        <f>IF(B69="Yes",COUNTIF($B$3:B69,"Yes"),"")</f>
        <v/>
      </c>
      <c r="B69" t="str">
        <f t="shared" si="5"/>
        <v>No</v>
      </c>
      <c r="C69" s="252" t="s">
        <v>55</v>
      </c>
      <c r="D69">
        <f>SUMIFS(Trades!$I$9:$I$59,Trades!$C$9:$C$59,$C69,Trades!$K$9:$K$59,"&lt;="&amp;D$2)-SUMIFS(Trades!$I$32:$I$59,Trades!$C$32:$C$59,$C69,Trades!$M$32:$M$59,"&lt;="&amp;D$2)</f>
        <v>0</v>
      </c>
      <c r="E69">
        <f>SUMIFS(Trades!$I$9:$I$59,Trades!$C$9:$C$59,$C69,Trades!$K$9:$K$59,"&lt;="&amp;E$2)-SUMIFS(Trades!$I$32:$I$59,Trades!$C$32:$C$59,$C69,Trades!$M$32:$M$59,"&lt;="&amp;E$2)</f>
        <v>0</v>
      </c>
      <c r="F69">
        <f>SUMIFS(Trades!$I$9:$I$59,Trades!$C$9:$C$59,$C69,Trades!$K$9:$K$59,"&lt;="&amp;F$2)-SUMIFS(Trades!$I$32:$I$59,Trades!$C$32:$C$59,$C69,Trades!$M$32:$M$59,"&lt;="&amp;F$2)</f>
        <v>0</v>
      </c>
      <c r="G69">
        <f>SUMIFS(Trades!$I$9:$I$59,Trades!$C$9:$C$59,$C69,Trades!$K$9:$K$59,"&lt;="&amp;G$2)-SUMIFS(Trades!$I$32:$I$59,Trades!$C$32:$C$59,$C69,Trades!$M$32:$M$59,"&lt;="&amp;G$2)</f>
        <v>0</v>
      </c>
      <c r="H69">
        <f>SUMIFS(Trades!$I$9:$I$59,Trades!$C$9:$C$59,$C69,Trades!$K$9:$K$59,"&lt;="&amp;H$2)-SUMIFS(Trades!$I$32:$I$59,Trades!$C$32:$C$59,$C69,Trades!$M$32:$M$59,"&lt;="&amp;H$2)</f>
        <v>0</v>
      </c>
      <c r="I69">
        <f>SUMIFS(Trades!$I$9:$I$59,Trades!$C$9:$C$59,$C69,Trades!$K$9:$K$59,"&lt;="&amp;I$2)-SUMIFS(Trades!$I$32:$I$59,Trades!$C$32:$C$59,$C69,Trades!$M$32:$M$59,"&lt;="&amp;I$2)</f>
        <v>0</v>
      </c>
      <c r="M69" t="str">
        <f t="shared" si="4"/>
        <v>No</v>
      </c>
      <c r="N69" s="252" t="s">
        <v>55</v>
      </c>
      <c r="O69" s="303">
        <f>SUMIFS(Trades!$O$9:$O$59,Trades!$C$9:$C$59,C69,Trades!$G$9:$G$59,"Buy")</f>
        <v>0</v>
      </c>
      <c r="P69" s="303">
        <f>SUMIFS(Trades!$I$9:$I$59,Trades!$C$9:$C$59,$C69,Trades!$G$9:$G$59,"Buy")</f>
        <v>0</v>
      </c>
      <c r="Q69" s="62" t="str">
        <f t="shared" si="6"/>
        <v/>
      </c>
      <c r="R69">
        <f>SUMIFS(Trades!$O$9:$O$59,Trades!$C$9:$C$59,$C69,Trades!$G$9:$G$59,"Sell")</f>
        <v>0</v>
      </c>
      <c r="S69">
        <f>SUMIFS(Trades!$I$9:$I$59,Trades!$C$9:$C$59,$C69,Trades!$G$9:$G$59,"Sell")</f>
        <v>0</v>
      </c>
      <c r="T69" t="str">
        <f t="shared" si="7"/>
        <v/>
      </c>
    </row>
  </sheetData>
  <autoFilter ref="C2:I2" xr:uid="{00000000-0009-0000-0000-000008000000}">
    <sortState xmlns:xlrd2="http://schemas.microsoft.com/office/spreadsheetml/2017/richdata2" ref="C3:I69">
      <sortCondition ref="C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3"/>
  <sheetViews>
    <sheetView topLeftCell="A43" zoomScale="50" zoomScaleNormal="50" workbookViewId="0">
      <selection activeCell="O26" sqref="O26"/>
    </sheetView>
  </sheetViews>
  <sheetFormatPr baseColWidth="10" defaultColWidth="8.83203125" defaultRowHeight="15" x14ac:dyDescent="0.2"/>
  <cols>
    <col min="2" max="34" width="13" customWidth="1"/>
    <col min="35" max="35" width="14.33203125" bestFit="1" customWidth="1"/>
    <col min="36" max="36" width="7.6640625" bestFit="1" customWidth="1"/>
  </cols>
  <sheetData>
    <row r="1" spans="1:33" ht="19" x14ac:dyDescent="0.25">
      <c r="A1" s="3" t="s">
        <v>375</v>
      </c>
    </row>
    <row r="2" spans="1:33" ht="19" x14ac:dyDescent="0.25">
      <c r="A2" s="3"/>
    </row>
    <row r="3" spans="1:33" ht="19" x14ac:dyDescent="0.25">
      <c r="A3" s="3"/>
      <c r="B3" s="385" t="s">
        <v>430</v>
      </c>
    </row>
    <row r="4" spans="1:33" ht="19" x14ac:dyDescent="0.25">
      <c r="A4" s="3"/>
      <c r="B4" s="4" t="s">
        <v>431</v>
      </c>
    </row>
    <row r="5" spans="1:33" ht="19" x14ac:dyDescent="0.25">
      <c r="A5" s="3"/>
      <c r="B5" t="s">
        <v>374</v>
      </c>
      <c r="C5">
        <v>0</v>
      </c>
      <c r="D5">
        <v>1</v>
      </c>
      <c r="E5">
        <v>2</v>
      </c>
      <c r="F5">
        <v>3</v>
      </c>
      <c r="G5">
        <v>4</v>
      </c>
      <c r="H5">
        <v>5</v>
      </c>
      <c r="I5">
        <v>6</v>
      </c>
      <c r="J5">
        <v>7</v>
      </c>
      <c r="K5">
        <v>8</v>
      </c>
      <c r="L5">
        <v>9</v>
      </c>
      <c r="O5" s="4" t="s">
        <v>365</v>
      </c>
      <c r="P5">
        <v>0</v>
      </c>
      <c r="Q5">
        <v>1</v>
      </c>
      <c r="R5">
        <v>2</v>
      </c>
      <c r="S5">
        <v>3</v>
      </c>
      <c r="T5">
        <v>4</v>
      </c>
      <c r="U5">
        <v>5</v>
      </c>
      <c r="V5">
        <v>6</v>
      </c>
      <c r="W5">
        <v>7</v>
      </c>
      <c r="X5">
        <v>8</v>
      </c>
      <c r="Y5">
        <v>9</v>
      </c>
      <c r="Z5" t="s">
        <v>151</v>
      </c>
    </row>
    <row r="6" spans="1:33" ht="19" x14ac:dyDescent="0.25">
      <c r="A6" s="3"/>
      <c r="B6" t="s">
        <v>0</v>
      </c>
      <c r="C6" s="4" t="s">
        <v>149</v>
      </c>
      <c r="D6" s="588" t="str">
        <f t="array" ref="D6:L6">TRANSPOSE(Policy_Tickers)</f>
        <v>BWX</v>
      </c>
      <c r="E6" s="588" t="str">
        <v>VTI</v>
      </c>
      <c r="F6" s="588" t="str">
        <v>IAU</v>
      </c>
      <c r="G6" s="588" t="str">
        <v/>
      </c>
      <c r="H6" s="588" t="str">
        <v/>
      </c>
      <c r="I6" s="588" t="str">
        <v/>
      </c>
      <c r="J6" s="588" t="str">
        <v/>
      </c>
      <c r="K6" s="588" t="str">
        <v/>
      </c>
      <c r="L6" s="588" t="str">
        <v/>
      </c>
      <c r="M6" s="1"/>
      <c r="N6" s="1"/>
      <c r="P6" s="4" t="str">
        <f t="shared" ref="P6:Y6" si="0">C17</f>
        <v>Cash</v>
      </c>
      <c r="Q6" s="4" t="str">
        <f t="shared" si="0"/>
        <v>BWX</v>
      </c>
      <c r="R6" s="4" t="str">
        <f t="shared" si="0"/>
        <v>VTI</v>
      </c>
      <c r="S6" s="4" t="str">
        <f t="shared" si="0"/>
        <v>IAU</v>
      </c>
      <c r="T6" s="4" t="str">
        <f t="shared" si="0"/>
        <v/>
      </c>
      <c r="U6" s="4" t="str">
        <f t="shared" si="0"/>
        <v/>
      </c>
      <c r="V6" s="4" t="str">
        <f t="shared" si="0"/>
        <v/>
      </c>
      <c r="W6" s="4" t="str">
        <f t="shared" si="0"/>
        <v/>
      </c>
      <c r="X6" s="4" t="str">
        <f t="shared" si="0"/>
        <v/>
      </c>
      <c r="Y6" s="4" t="str">
        <f t="shared" si="0"/>
        <v/>
      </c>
      <c r="Z6" s="1"/>
      <c r="AA6" s="1"/>
      <c r="AB6" s="1"/>
      <c r="AC6" s="1"/>
      <c r="AD6" s="1"/>
      <c r="AE6" s="1"/>
      <c r="AF6" s="1"/>
      <c r="AG6" s="1"/>
    </row>
    <row r="7" spans="1:33" ht="19" x14ac:dyDescent="0.25">
      <c r="A7" s="3"/>
      <c r="B7" s="6">
        <f t="array" ref="B7:B12">TRANSPOSE(Dates)</f>
        <v>44260</v>
      </c>
      <c r="C7" s="386">
        <v>1</v>
      </c>
      <c r="D7" s="123">
        <f t="array" ref="D7:D12">TRANSPOSE(PPrices1)</f>
        <v>29.61</v>
      </c>
      <c r="E7" s="123">
        <f t="array" ref="E7:E12">TRANSPOSE(PPrices2)</f>
        <v>97.67</v>
      </c>
      <c r="F7" s="123">
        <f t="array" ref="F7:F12">TRANSPOSE(PPrices3)</f>
        <v>16.18</v>
      </c>
      <c r="G7" s="123" t="str">
        <f t="array" ref="G7:G12">TRANSPOSE(PPrices4)</f>
        <v/>
      </c>
      <c r="H7" s="123" t="str">
        <f t="array" ref="H7:H12">TRANSPOSE(PPrices5)</f>
        <v/>
      </c>
      <c r="I7" s="123" t="str">
        <f t="array" ref="I7:I12">TRANSPOSE(PPrices6)</f>
        <v/>
      </c>
      <c r="J7" s="123" t="str">
        <f t="array" ref="J7:J12">TRANSPOSE(PPrices7)</f>
        <v/>
      </c>
      <c r="K7" s="123" t="str">
        <f t="array" ref="K7:K12">TRANSPOSE(PPrices8)</f>
        <v/>
      </c>
      <c r="L7" s="123" t="str">
        <f t="array" ref="L7:L12">TRANSPOSE(PPrices9)</f>
        <v/>
      </c>
      <c r="M7" s="123"/>
      <c r="N7" s="123"/>
      <c r="O7" s="6">
        <f t="shared" ref="O7:O12" si="1">B18</f>
        <v>44260</v>
      </c>
      <c r="P7" s="387">
        <f>'Policy Portfolio'!$G$20</f>
        <v>0.01</v>
      </c>
      <c r="Q7">
        <f>INDEX('Policy Portfolio'!$G$20:$G$29,MATCH(Calculations!Q6,'Policy Portfolio'!$H$20:$H$29,0),1)</f>
        <v>0.3</v>
      </c>
      <c r="R7">
        <f>INDEX('Policy Portfolio'!$G$20:$G$29,MATCH(Calculations!R6,'Policy Portfolio'!$H$20:$H$29,0),1)</f>
        <v>0.35</v>
      </c>
      <c r="S7">
        <f>INDEX('Policy Portfolio'!$G$20:$G$29,MATCH(Calculations!S6,'Policy Portfolio'!$H$20:$H$29,0),1)</f>
        <v>0.34</v>
      </c>
      <c r="T7">
        <f>INDEX('Policy Portfolio'!$G$20:$G$29,MATCH(Calculations!T6,'Policy Portfolio'!$H$20:$H$29,0),1)</f>
        <v>0</v>
      </c>
      <c r="U7">
        <f>INDEX('Policy Portfolio'!$G$20:$G$29,MATCH(Calculations!U6,'Policy Portfolio'!$H$20:$H$29,0),1)</f>
        <v>0</v>
      </c>
      <c r="V7">
        <f>INDEX('Policy Portfolio'!$G$20:$G$29,MATCH(Calculations!V6,'Policy Portfolio'!$H$20:$H$29,0),1)</f>
        <v>0</v>
      </c>
      <c r="W7">
        <f>INDEX('Policy Portfolio'!$G$20:$G$29,MATCH(Calculations!W6,'Policy Portfolio'!$H$20:$H$29,0),1)</f>
        <v>0</v>
      </c>
      <c r="X7">
        <f>INDEX('Policy Portfolio'!$G$20:$G$29,MATCH(Calculations!X6,'Policy Portfolio'!$H$20:$H$29,0),1)</f>
        <v>0</v>
      </c>
      <c r="Y7">
        <f>INDEX('Policy Portfolio'!$G$20:$G$29,MATCH(Calculations!Y6,'Policy Portfolio'!$H$20:$H$29,0),1)</f>
        <v>0</v>
      </c>
      <c r="Z7" s="123">
        <f>SUMIF(P7:Y7,"&gt;0",P7:Y7)</f>
        <v>1</v>
      </c>
      <c r="AA7" s="123"/>
      <c r="AB7" s="123"/>
      <c r="AC7" s="123"/>
      <c r="AD7" s="123"/>
      <c r="AE7" s="123"/>
      <c r="AF7" s="123"/>
      <c r="AG7" s="123"/>
    </row>
    <row r="8" spans="1:33" ht="19" x14ac:dyDescent="0.25">
      <c r="A8" s="3"/>
      <c r="B8" s="6">
        <v>44267</v>
      </c>
      <c r="C8" s="386">
        <v>1</v>
      </c>
      <c r="D8" s="123">
        <v>29.65</v>
      </c>
      <c r="E8" s="123">
        <v>100.88</v>
      </c>
      <c r="F8" s="123">
        <v>16.440000000000001</v>
      </c>
      <c r="G8" s="123">
        <v>0</v>
      </c>
      <c r="H8" s="123">
        <v>0</v>
      </c>
      <c r="I8" s="123">
        <v>0</v>
      </c>
      <c r="J8" s="123">
        <v>0</v>
      </c>
      <c r="K8" s="123">
        <v>0</v>
      </c>
      <c r="L8" s="123">
        <v>0</v>
      </c>
      <c r="M8" s="123"/>
      <c r="N8" s="123"/>
      <c r="O8" s="6">
        <f t="shared" si="1"/>
        <v>44267</v>
      </c>
      <c r="P8" s="387">
        <f>P7+P7*C19</f>
        <v>0.01</v>
      </c>
      <c r="Q8" s="387">
        <f t="shared" ref="Q8:Y8" si="2">Q7+Q7*D19</f>
        <v>0.30040526849037485</v>
      </c>
      <c r="R8" s="387">
        <f t="shared" si="2"/>
        <v>0.3615030203747312</v>
      </c>
      <c r="S8" s="387">
        <f t="shared" si="2"/>
        <v>0.34546353522867745</v>
      </c>
      <c r="T8" s="387">
        <f>T7+T7*G19</f>
        <v>0</v>
      </c>
      <c r="U8" s="387">
        <f>U7+U7*H19</f>
        <v>0</v>
      </c>
      <c r="V8" s="387">
        <f t="shared" si="2"/>
        <v>0</v>
      </c>
      <c r="W8" s="387">
        <f t="shared" si="2"/>
        <v>0</v>
      </c>
      <c r="X8" s="387">
        <f t="shared" si="2"/>
        <v>0</v>
      </c>
      <c r="Y8" s="387">
        <f t="shared" si="2"/>
        <v>0</v>
      </c>
      <c r="Z8" s="123">
        <f t="shared" ref="Z8:Z12" si="3">SUMIF(P8:Y8,"&gt;0",P8:Y8)</f>
        <v>1.0173718240937835</v>
      </c>
      <c r="AA8" s="123"/>
      <c r="AB8" s="123"/>
      <c r="AC8" s="123"/>
      <c r="AD8" s="123"/>
      <c r="AE8" s="123"/>
      <c r="AF8" s="123"/>
      <c r="AG8" s="123"/>
    </row>
    <row r="9" spans="1:33" ht="19" x14ac:dyDescent="0.25">
      <c r="A9" s="3"/>
      <c r="B9" s="6">
        <v>44274</v>
      </c>
      <c r="C9" s="386">
        <v>1</v>
      </c>
      <c r="D9" s="123">
        <v>29.58</v>
      </c>
      <c r="E9" s="123">
        <v>99.88</v>
      </c>
      <c r="F9" s="123">
        <v>16.61</v>
      </c>
      <c r="G9" s="123">
        <v>0</v>
      </c>
      <c r="H9" s="123">
        <v>0</v>
      </c>
      <c r="I9" s="123">
        <v>0</v>
      </c>
      <c r="J9" s="123">
        <v>0</v>
      </c>
      <c r="K9" s="123">
        <v>0</v>
      </c>
      <c r="L9" s="123">
        <v>0</v>
      </c>
      <c r="M9" s="123"/>
      <c r="N9" s="123"/>
      <c r="O9" s="6">
        <f t="shared" si="1"/>
        <v>44274</v>
      </c>
      <c r="P9" s="387">
        <f t="shared" ref="P9:P12" si="4">P8+P8*C20</f>
        <v>0.01</v>
      </c>
      <c r="Q9" s="387">
        <f t="shared" ref="Q9:Q12" si="5">Q8+Q8*D20</f>
        <v>0.29969604863221883</v>
      </c>
      <c r="R9" s="387">
        <f t="shared" ref="R9:R12" si="6">R8+R8*E20</f>
        <v>0.35791952493088969</v>
      </c>
      <c r="S9" s="387">
        <f t="shared" ref="S9:S12" si="7">S8+S8*F20</f>
        <v>0.34903584672435106</v>
      </c>
      <c r="T9" s="387">
        <f t="shared" ref="T9:T12" si="8">T8+T8*G20</f>
        <v>0</v>
      </c>
      <c r="U9" s="387">
        <f t="shared" ref="U9:U12" si="9">U8+U8*H20</f>
        <v>0</v>
      </c>
      <c r="V9" s="387">
        <f t="shared" ref="V9:V12" si="10">V8+V8*I20</f>
        <v>0</v>
      </c>
      <c r="W9" s="387">
        <f t="shared" ref="W9:W12" si="11">W8+W8*J20</f>
        <v>0</v>
      </c>
      <c r="X9" s="387">
        <f t="shared" ref="X9:X12" si="12">X8+X8*K20</f>
        <v>0</v>
      </c>
      <c r="Y9" s="387">
        <f t="shared" ref="Y9:Y12" si="13">Y8+Y8*L20</f>
        <v>0</v>
      </c>
      <c r="Z9" s="123">
        <f t="shared" si="3"/>
        <v>1.0166514202874595</v>
      </c>
      <c r="AA9" s="123"/>
      <c r="AB9" s="123"/>
      <c r="AC9" s="123"/>
      <c r="AD9" s="123"/>
      <c r="AE9" s="123"/>
      <c r="AF9" s="123"/>
      <c r="AG9" s="123"/>
    </row>
    <row r="10" spans="1:33" ht="19" x14ac:dyDescent="0.25">
      <c r="A10" s="3"/>
      <c r="B10" s="6">
        <v>44281</v>
      </c>
      <c r="C10" s="386">
        <v>1</v>
      </c>
      <c r="D10" s="123">
        <v>29.46</v>
      </c>
      <c r="E10" s="123">
        <v>100.45</v>
      </c>
      <c r="F10" s="123">
        <v>16.5</v>
      </c>
      <c r="G10" s="123">
        <v>0</v>
      </c>
      <c r="H10" s="123">
        <v>0</v>
      </c>
      <c r="I10" s="123">
        <v>0</v>
      </c>
      <c r="J10" s="123">
        <v>0</v>
      </c>
      <c r="K10" s="123">
        <v>0</v>
      </c>
      <c r="L10" s="123">
        <v>0</v>
      </c>
      <c r="M10" s="123"/>
      <c r="N10" s="123"/>
      <c r="O10" s="6">
        <f t="shared" si="1"/>
        <v>44281</v>
      </c>
      <c r="P10" s="387">
        <f t="shared" si="4"/>
        <v>0.01</v>
      </c>
      <c r="Q10" s="387">
        <f t="shared" si="5"/>
        <v>0.29848024316109423</v>
      </c>
      <c r="R10" s="387">
        <f t="shared" si="6"/>
        <v>0.35996211733387939</v>
      </c>
      <c r="S10" s="387">
        <f t="shared" si="7"/>
        <v>0.34672435105067989</v>
      </c>
      <c r="T10" s="387">
        <f t="shared" si="8"/>
        <v>0</v>
      </c>
      <c r="U10" s="387">
        <f t="shared" si="9"/>
        <v>0</v>
      </c>
      <c r="V10" s="387">
        <f t="shared" si="10"/>
        <v>0</v>
      </c>
      <c r="W10" s="387">
        <f t="shared" si="11"/>
        <v>0</v>
      </c>
      <c r="X10" s="387">
        <f t="shared" si="12"/>
        <v>0</v>
      </c>
      <c r="Y10" s="387">
        <f t="shared" si="13"/>
        <v>0</v>
      </c>
      <c r="Z10" s="123">
        <f t="shared" si="3"/>
        <v>1.0151667115456535</v>
      </c>
      <c r="AA10" s="123"/>
      <c r="AB10" s="123"/>
      <c r="AC10" s="123"/>
      <c r="AD10" s="123"/>
      <c r="AE10" s="123"/>
      <c r="AF10" s="123"/>
      <c r="AG10" s="123"/>
    </row>
    <row r="11" spans="1:33" ht="19" x14ac:dyDescent="0.25">
      <c r="A11" s="3"/>
      <c r="B11" s="6">
        <v>44288</v>
      </c>
      <c r="C11" s="386">
        <v>1</v>
      </c>
      <c r="D11" s="123">
        <v>29.28</v>
      </c>
      <c r="E11" s="123">
        <v>101.79</v>
      </c>
      <c r="F11" s="123">
        <v>16.46</v>
      </c>
      <c r="G11" s="123">
        <v>0</v>
      </c>
      <c r="H11" s="123">
        <v>0</v>
      </c>
      <c r="I11" s="123">
        <v>0</v>
      </c>
      <c r="J11" s="123">
        <v>0</v>
      </c>
      <c r="K11" s="123">
        <v>0</v>
      </c>
      <c r="L11" s="123">
        <v>0</v>
      </c>
      <c r="M11" s="123"/>
      <c r="N11" s="123"/>
      <c r="O11" s="6">
        <f t="shared" si="1"/>
        <v>44288</v>
      </c>
      <c r="P11" s="387">
        <f t="shared" si="4"/>
        <v>0.01</v>
      </c>
      <c r="Q11" s="387">
        <f t="shared" si="5"/>
        <v>0.2966565349544073</v>
      </c>
      <c r="R11" s="387">
        <f t="shared" si="6"/>
        <v>0.36476400122862701</v>
      </c>
      <c r="S11" s="387">
        <f t="shared" si="7"/>
        <v>0.34588380716934497</v>
      </c>
      <c r="T11" s="387">
        <f t="shared" si="8"/>
        <v>0</v>
      </c>
      <c r="U11" s="387">
        <f t="shared" si="9"/>
        <v>0</v>
      </c>
      <c r="V11" s="387">
        <f t="shared" si="10"/>
        <v>0</v>
      </c>
      <c r="W11" s="387">
        <f t="shared" si="11"/>
        <v>0</v>
      </c>
      <c r="X11" s="387">
        <f t="shared" si="12"/>
        <v>0</v>
      </c>
      <c r="Y11" s="387">
        <f t="shared" si="13"/>
        <v>0</v>
      </c>
      <c r="Z11" s="123">
        <f t="shared" si="3"/>
        <v>1.0173043433523792</v>
      </c>
      <c r="AA11" s="123"/>
      <c r="AB11" s="123"/>
      <c r="AC11" s="123"/>
      <c r="AD11" s="123"/>
      <c r="AE11" s="123"/>
      <c r="AF11" s="123"/>
      <c r="AG11" s="123"/>
    </row>
    <row r="12" spans="1:33" ht="19" x14ac:dyDescent="0.25">
      <c r="A12" s="3"/>
      <c r="B12" s="6">
        <v>44295</v>
      </c>
      <c r="C12" s="386">
        <v>1</v>
      </c>
      <c r="D12" s="123">
        <v>29.55</v>
      </c>
      <c r="E12" s="123">
        <v>104.23</v>
      </c>
      <c r="F12" s="123">
        <v>16.61</v>
      </c>
      <c r="G12" s="123">
        <v>0</v>
      </c>
      <c r="H12" s="123">
        <v>0</v>
      </c>
      <c r="I12" s="123">
        <v>0</v>
      </c>
      <c r="J12" s="123">
        <v>0</v>
      </c>
      <c r="K12" s="123">
        <v>0</v>
      </c>
      <c r="L12" s="123">
        <v>0</v>
      </c>
      <c r="M12" s="123"/>
      <c r="N12" s="123"/>
      <c r="O12" s="6">
        <f t="shared" si="1"/>
        <v>44295</v>
      </c>
      <c r="P12" s="387">
        <f t="shared" si="4"/>
        <v>0.01</v>
      </c>
      <c r="Q12" s="387">
        <f t="shared" si="5"/>
        <v>0.29939209726443772</v>
      </c>
      <c r="R12" s="387">
        <f t="shared" si="6"/>
        <v>0.37350773011160027</v>
      </c>
      <c r="S12" s="387">
        <f t="shared" si="7"/>
        <v>0.34903584672435106</v>
      </c>
      <c r="T12" s="387">
        <f t="shared" si="8"/>
        <v>0</v>
      </c>
      <c r="U12" s="387">
        <f t="shared" si="9"/>
        <v>0</v>
      </c>
      <c r="V12" s="387">
        <f t="shared" si="10"/>
        <v>0</v>
      </c>
      <c r="W12" s="387">
        <f t="shared" si="11"/>
        <v>0</v>
      </c>
      <c r="X12" s="387">
        <f t="shared" si="12"/>
        <v>0</v>
      </c>
      <c r="Y12" s="387">
        <f t="shared" si="13"/>
        <v>0</v>
      </c>
      <c r="Z12" s="123">
        <f t="shared" si="3"/>
        <v>1.0319356741003891</v>
      </c>
      <c r="AA12" s="123"/>
      <c r="AB12" s="123"/>
      <c r="AC12" s="123"/>
      <c r="AD12" s="123"/>
      <c r="AE12" s="123"/>
      <c r="AF12" s="123"/>
      <c r="AG12" s="123"/>
    </row>
    <row r="13" spans="1:33" ht="19" x14ac:dyDescent="0.25">
      <c r="A13" s="3"/>
      <c r="B13" s="6"/>
      <c r="C13" s="6"/>
    </row>
    <row r="14" spans="1:33" ht="19" x14ac:dyDescent="0.25">
      <c r="A14" s="3"/>
      <c r="B14" t="s">
        <v>162</v>
      </c>
      <c r="C14" s="9">
        <f t="shared" ref="C14:L14" si="14">IF(C7="",0,C12/C7-1)</f>
        <v>0</v>
      </c>
      <c r="D14" s="9">
        <f t="shared" si="14"/>
        <v>-2.0263424518742745E-3</v>
      </c>
      <c r="E14" s="9">
        <f t="shared" si="14"/>
        <v>6.7164943176000858E-2</v>
      </c>
      <c r="F14" s="9">
        <f t="shared" si="14"/>
        <v>2.6576019777503124E-2</v>
      </c>
      <c r="G14" s="9">
        <f t="shared" si="14"/>
        <v>0</v>
      </c>
      <c r="H14" s="9">
        <f>IF(H7="",0,H12/H7-1)</f>
        <v>0</v>
      </c>
      <c r="I14" s="9">
        <f t="shared" si="14"/>
        <v>0</v>
      </c>
      <c r="J14" s="9">
        <f t="shared" si="14"/>
        <v>0</v>
      </c>
      <c r="K14" s="9">
        <f t="shared" si="14"/>
        <v>0</v>
      </c>
      <c r="L14" s="9">
        <f t="shared" si="14"/>
        <v>0</v>
      </c>
      <c r="M14" s="9"/>
      <c r="N14" s="9"/>
      <c r="O14" s="9" t="s">
        <v>151</v>
      </c>
      <c r="P14" s="387">
        <f>SUM(P7:P12)</f>
        <v>6.0000000000000005E-2</v>
      </c>
      <c r="Q14" s="387">
        <f t="shared" ref="Q14:Y14" si="15">SUM(Q7:Q12)</f>
        <v>1.794630192502533</v>
      </c>
      <c r="R14" s="387">
        <f t="shared" si="15"/>
        <v>2.1676563939797275</v>
      </c>
      <c r="S14" s="387">
        <f t="shared" si="15"/>
        <v>2.0761433868974049</v>
      </c>
      <c r="T14" s="387">
        <f t="shared" si="15"/>
        <v>0</v>
      </c>
      <c r="U14" s="387">
        <f t="shared" si="15"/>
        <v>0</v>
      </c>
      <c r="V14" s="387">
        <f t="shared" si="15"/>
        <v>0</v>
      </c>
      <c r="W14" s="387">
        <f t="shared" si="15"/>
        <v>0</v>
      </c>
      <c r="X14" s="387">
        <f t="shared" si="15"/>
        <v>0</v>
      </c>
      <c r="Y14" s="387">
        <f t="shared" si="15"/>
        <v>0</v>
      </c>
      <c r="Z14" s="8">
        <f>Z12/Z7-1</f>
        <v>3.1935674100389111E-2</v>
      </c>
      <c r="AA14" s="9"/>
      <c r="AB14" s="9"/>
      <c r="AC14" s="9"/>
      <c r="AD14" s="9"/>
      <c r="AE14" s="9"/>
      <c r="AF14" s="9"/>
      <c r="AG14" s="9"/>
    </row>
    <row r="15" spans="1:33" ht="19" x14ac:dyDescent="0.25">
      <c r="A15" s="3"/>
      <c r="Z15" s="236"/>
    </row>
    <row r="16" spans="1:33" ht="19" x14ac:dyDescent="0.25">
      <c r="A16" s="3"/>
      <c r="B16" s="4" t="s">
        <v>327</v>
      </c>
      <c r="O16" s="4" t="s">
        <v>158</v>
      </c>
    </row>
    <row r="17" spans="1:33" ht="19" x14ac:dyDescent="0.25">
      <c r="A17" s="3"/>
      <c r="C17" s="4" t="str">
        <f>C6</f>
        <v>Cash</v>
      </c>
      <c r="D17" s="4" t="str">
        <f t="shared" ref="D17:L17" si="16">D6</f>
        <v>BWX</v>
      </c>
      <c r="E17" s="4" t="str">
        <f t="shared" si="16"/>
        <v>VTI</v>
      </c>
      <c r="F17" s="4" t="str">
        <f t="shared" si="16"/>
        <v>IAU</v>
      </c>
      <c r="G17" s="4" t="str">
        <f t="shared" si="16"/>
        <v/>
      </c>
      <c r="H17" s="4" t="str">
        <f t="shared" si="16"/>
        <v/>
      </c>
      <c r="I17" s="4" t="str">
        <f t="shared" si="16"/>
        <v/>
      </c>
      <c r="J17" s="4" t="str">
        <f t="shared" si="16"/>
        <v/>
      </c>
      <c r="K17" s="4" t="str">
        <f t="shared" si="16"/>
        <v/>
      </c>
      <c r="L17" s="4" t="str">
        <f t="shared" si="16"/>
        <v/>
      </c>
      <c r="P17" s="4" t="str">
        <f>P6</f>
        <v>Cash</v>
      </c>
      <c r="Q17" s="4" t="str">
        <f t="shared" ref="Q17:Y17" si="17">Q6</f>
        <v>BWX</v>
      </c>
      <c r="R17" s="4" t="str">
        <f t="shared" si="17"/>
        <v>VTI</v>
      </c>
      <c r="S17" s="4" t="str">
        <f t="shared" si="17"/>
        <v>IAU</v>
      </c>
      <c r="T17" s="4" t="str">
        <f t="shared" si="17"/>
        <v/>
      </c>
      <c r="U17" s="4" t="str">
        <f t="shared" si="17"/>
        <v/>
      </c>
      <c r="V17" s="4" t="str">
        <f t="shared" si="17"/>
        <v/>
      </c>
      <c r="W17" s="4" t="str">
        <f t="shared" si="17"/>
        <v/>
      </c>
      <c r="X17" s="4" t="str">
        <f t="shared" si="17"/>
        <v/>
      </c>
      <c r="Y17" s="4" t="str">
        <f t="shared" si="17"/>
        <v/>
      </c>
      <c r="Z17" s="4"/>
    </row>
    <row r="18" spans="1:33" ht="19" x14ac:dyDescent="0.25">
      <c r="A18" s="3"/>
      <c r="B18" s="6">
        <f t="shared" ref="B18:B23" si="18">B7</f>
        <v>44260</v>
      </c>
      <c r="C18" s="6"/>
      <c r="O18" s="6">
        <f t="shared" ref="O18:O23" si="19">O7</f>
        <v>44260</v>
      </c>
      <c r="P18" s="303">
        <f>P7/$Z7</f>
        <v>0.01</v>
      </c>
      <c r="Q18" s="303">
        <f t="shared" ref="Q18:Y18" si="20">Q7/$Z7</f>
        <v>0.3</v>
      </c>
      <c r="R18" s="303">
        <f t="shared" si="20"/>
        <v>0.35</v>
      </c>
      <c r="S18" s="303">
        <f t="shared" si="20"/>
        <v>0.34</v>
      </c>
      <c r="T18" s="303">
        <f t="shared" si="20"/>
        <v>0</v>
      </c>
      <c r="U18" s="303">
        <f>U7/$Z7</f>
        <v>0</v>
      </c>
      <c r="V18" s="303">
        <f t="shared" si="20"/>
        <v>0</v>
      </c>
      <c r="W18" s="303">
        <f t="shared" si="20"/>
        <v>0</v>
      </c>
      <c r="X18" s="303">
        <f t="shared" si="20"/>
        <v>0</v>
      </c>
      <c r="Y18" s="303">
        <f t="shared" si="20"/>
        <v>0</v>
      </c>
      <c r="Z18" s="303">
        <f>SUM(P18:Y18)</f>
        <v>1</v>
      </c>
    </row>
    <row r="19" spans="1:33" ht="19" x14ac:dyDescent="0.25">
      <c r="A19" s="3"/>
      <c r="B19" s="6">
        <f t="shared" si="18"/>
        <v>44267</v>
      </c>
      <c r="C19" s="9">
        <f>IF(OR(C7=0,C7=""),0,C8/C7-1)</f>
        <v>0</v>
      </c>
      <c r="D19" s="9">
        <f t="shared" ref="D19:L19" si="21">IF(OR(D7=0,D7=""),0,D8/D7-1)</f>
        <v>1.350894967916183E-3</v>
      </c>
      <c r="E19" s="9">
        <f t="shared" si="21"/>
        <v>3.286577249923206E-2</v>
      </c>
      <c r="F19" s="9">
        <f t="shared" si="21"/>
        <v>1.6069221260816002E-2</v>
      </c>
      <c r="G19" s="9">
        <f t="shared" si="21"/>
        <v>0</v>
      </c>
      <c r="H19" s="9">
        <f t="shared" si="21"/>
        <v>0</v>
      </c>
      <c r="I19" s="9">
        <f t="shared" si="21"/>
        <v>0</v>
      </c>
      <c r="J19" s="9">
        <f t="shared" si="21"/>
        <v>0</v>
      </c>
      <c r="K19" s="9">
        <f t="shared" si="21"/>
        <v>0</v>
      </c>
      <c r="L19" s="9">
        <f t="shared" si="21"/>
        <v>0</v>
      </c>
      <c r="M19" s="9"/>
      <c r="N19" s="9"/>
      <c r="O19" s="6">
        <f t="shared" si="19"/>
        <v>44267</v>
      </c>
      <c r="P19" s="303">
        <f t="shared" ref="P19:Y19" si="22">P8/$Z8</f>
        <v>9.8292480322102766E-3</v>
      </c>
      <c r="Q19" s="303">
        <f t="shared" si="22"/>
        <v>0.29527578941746169</v>
      </c>
      <c r="R19" s="303">
        <f t="shared" si="22"/>
        <v>0.3553302851656398</v>
      </c>
      <c r="S19" s="303">
        <f t="shared" si="22"/>
        <v>0.33956467738468832</v>
      </c>
      <c r="T19" s="303">
        <f t="shared" si="22"/>
        <v>0</v>
      </c>
      <c r="U19" s="303">
        <f t="shared" si="22"/>
        <v>0</v>
      </c>
      <c r="V19" s="303">
        <f t="shared" si="22"/>
        <v>0</v>
      </c>
      <c r="W19" s="303">
        <f t="shared" si="22"/>
        <v>0</v>
      </c>
      <c r="X19" s="303">
        <f t="shared" si="22"/>
        <v>0</v>
      </c>
      <c r="Y19" s="303">
        <f t="shared" si="22"/>
        <v>0</v>
      </c>
      <c r="Z19" s="303">
        <f t="shared" ref="Z19:Z23" si="23">SUM(P19:Y19)</f>
        <v>1</v>
      </c>
      <c r="AA19" s="9"/>
      <c r="AB19" s="9"/>
      <c r="AC19" s="9"/>
      <c r="AD19" s="9"/>
      <c r="AE19" s="9"/>
      <c r="AF19" s="9"/>
      <c r="AG19" s="9"/>
    </row>
    <row r="20" spans="1:33" ht="19" x14ac:dyDescent="0.25">
      <c r="A20" s="3"/>
      <c r="B20" s="6">
        <f t="shared" si="18"/>
        <v>44274</v>
      </c>
      <c r="C20" s="9">
        <f t="shared" ref="C20:L20" si="24">IF(OR(C8=0,C8=""),0,C9/C8-1)</f>
        <v>0</v>
      </c>
      <c r="D20" s="9">
        <f t="shared" si="24"/>
        <v>-2.3608768971332683E-3</v>
      </c>
      <c r="E20" s="9">
        <f t="shared" si="24"/>
        <v>-9.9127676447263724E-3</v>
      </c>
      <c r="F20" s="9">
        <f t="shared" si="24"/>
        <v>1.0340632603406119E-2</v>
      </c>
      <c r="G20" s="9">
        <f t="shared" si="24"/>
        <v>0</v>
      </c>
      <c r="H20" s="9">
        <f t="shared" si="24"/>
        <v>0</v>
      </c>
      <c r="I20" s="9">
        <f t="shared" si="24"/>
        <v>0</v>
      </c>
      <c r="J20" s="9">
        <f t="shared" si="24"/>
        <v>0</v>
      </c>
      <c r="K20" s="9">
        <f t="shared" si="24"/>
        <v>0</v>
      </c>
      <c r="L20" s="9">
        <f t="shared" si="24"/>
        <v>0</v>
      </c>
      <c r="M20" s="9"/>
      <c r="N20" s="9"/>
      <c r="O20" s="6">
        <f t="shared" si="19"/>
        <v>44274</v>
      </c>
      <c r="P20" s="303">
        <f t="shared" ref="P20:Y20" si="25">P9/$Z9</f>
        <v>9.8362130819356821E-3</v>
      </c>
      <c r="Q20" s="303">
        <f t="shared" si="25"/>
        <v>0.29478741941606629</v>
      </c>
      <c r="R20" s="303">
        <f t="shared" si="25"/>
        <v>0.35205727134054215</v>
      </c>
      <c r="S20" s="303">
        <f t="shared" si="25"/>
        <v>0.34331909616145595</v>
      </c>
      <c r="T20" s="303">
        <f t="shared" si="25"/>
        <v>0</v>
      </c>
      <c r="U20" s="303">
        <f t="shared" si="25"/>
        <v>0</v>
      </c>
      <c r="V20" s="303">
        <f t="shared" si="25"/>
        <v>0</v>
      </c>
      <c r="W20" s="303">
        <f t="shared" si="25"/>
        <v>0</v>
      </c>
      <c r="X20" s="303">
        <f t="shared" si="25"/>
        <v>0</v>
      </c>
      <c r="Y20" s="303">
        <f t="shared" si="25"/>
        <v>0</v>
      </c>
      <c r="Z20" s="303">
        <f t="shared" si="23"/>
        <v>1</v>
      </c>
      <c r="AA20" s="9"/>
      <c r="AB20" s="9"/>
      <c r="AC20" s="9"/>
      <c r="AD20" s="9"/>
      <c r="AE20" s="9"/>
      <c r="AF20" s="9"/>
      <c r="AG20" s="9"/>
    </row>
    <row r="21" spans="1:33" ht="19" x14ac:dyDescent="0.25">
      <c r="A21" s="3"/>
      <c r="B21" s="6">
        <f t="shared" si="18"/>
        <v>44281</v>
      </c>
      <c r="C21" s="9">
        <f t="shared" ref="C21:L21" si="26">IF(OR(C9=0,C9=""),0,C10/C9-1)</f>
        <v>0</v>
      </c>
      <c r="D21" s="9">
        <f t="shared" si="26"/>
        <v>-4.0567951318457585E-3</v>
      </c>
      <c r="E21" s="9">
        <f t="shared" si="26"/>
        <v>5.7068482178614932E-3</v>
      </c>
      <c r="F21" s="9">
        <f t="shared" si="26"/>
        <v>-6.6225165562913135E-3</v>
      </c>
      <c r="G21" s="9">
        <f t="shared" si="26"/>
        <v>0</v>
      </c>
      <c r="H21" s="9">
        <f t="shared" si="26"/>
        <v>0</v>
      </c>
      <c r="I21" s="9">
        <f t="shared" si="26"/>
        <v>0</v>
      </c>
      <c r="J21" s="9">
        <f t="shared" si="26"/>
        <v>0</v>
      </c>
      <c r="K21" s="9">
        <f t="shared" si="26"/>
        <v>0</v>
      </c>
      <c r="L21" s="9">
        <f t="shared" si="26"/>
        <v>0</v>
      </c>
      <c r="M21" s="9"/>
      <c r="N21" s="9"/>
      <c r="O21" s="6">
        <f t="shared" si="19"/>
        <v>44281</v>
      </c>
      <c r="P21" s="303">
        <f t="shared" ref="P21:Y21" si="27">P10/$Z10</f>
        <v>9.8505988093072795E-3</v>
      </c>
      <c r="Q21" s="303">
        <f t="shared" si="27"/>
        <v>0.29402091278844217</v>
      </c>
      <c r="R21" s="303">
        <f t="shared" si="27"/>
        <v>0.35458424044048392</v>
      </c>
      <c r="S21" s="303">
        <f t="shared" si="27"/>
        <v>0.34154424796176663</v>
      </c>
      <c r="T21" s="303">
        <f t="shared" si="27"/>
        <v>0</v>
      </c>
      <c r="U21" s="303">
        <f t="shared" si="27"/>
        <v>0</v>
      </c>
      <c r="V21" s="303">
        <f t="shared" si="27"/>
        <v>0</v>
      </c>
      <c r="W21" s="303">
        <f t="shared" si="27"/>
        <v>0</v>
      </c>
      <c r="X21" s="303">
        <f t="shared" si="27"/>
        <v>0</v>
      </c>
      <c r="Y21" s="303">
        <f t="shared" si="27"/>
        <v>0</v>
      </c>
      <c r="Z21" s="303">
        <f t="shared" si="23"/>
        <v>1</v>
      </c>
      <c r="AA21" s="9"/>
      <c r="AB21" s="9"/>
      <c r="AC21" s="9"/>
      <c r="AD21" s="9"/>
      <c r="AE21" s="9"/>
      <c r="AF21" s="9"/>
      <c r="AG21" s="9"/>
    </row>
    <row r="22" spans="1:33" ht="19" x14ac:dyDescent="0.25">
      <c r="A22" s="3"/>
      <c r="B22" s="6">
        <f t="shared" si="18"/>
        <v>44288</v>
      </c>
      <c r="C22" s="9">
        <f t="shared" ref="C22:L22" si="28">IF(OR(C10=0,C10=""),0,C11/C10-1)</f>
        <v>0</v>
      </c>
      <c r="D22" s="9">
        <f t="shared" si="28"/>
        <v>-6.109979633401208E-3</v>
      </c>
      <c r="E22" s="9">
        <f t="shared" si="28"/>
        <v>1.3339970134395251E-2</v>
      </c>
      <c r="F22" s="9">
        <f t="shared" si="28"/>
        <v>-2.4242424242423288E-3</v>
      </c>
      <c r="G22" s="9">
        <f t="shared" si="28"/>
        <v>0</v>
      </c>
      <c r="H22" s="9">
        <f t="shared" si="28"/>
        <v>0</v>
      </c>
      <c r="I22" s="9">
        <f t="shared" si="28"/>
        <v>0</v>
      </c>
      <c r="J22" s="9">
        <f t="shared" si="28"/>
        <v>0</v>
      </c>
      <c r="K22" s="9">
        <f t="shared" si="28"/>
        <v>0</v>
      </c>
      <c r="L22" s="9">
        <f t="shared" si="28"/>
        <v>0</v>
      </c>
      <c r="M22" s="9"/>
      <c r="N22" s="9"/>
      <c r="O22" s="6">
        <f t="shared" si="19"/>
        <v>44288</v>
      </c>
      <c r="P22" s="303">
        <f t="shared" ref="P22:Y22" si="29">P11/$Z11</f>
        <v>9.8299000346803271E-3</v>
      </c>
      <c r="Q22" s="303">
        <f t="shared" si="29"/>
        <v>0.29161040832364743</v>
      </c>
      <c r="R22" s="303">
        <f t="shared" si="29"/>
        <v>0.35855936683274159</v>
      </c>
      <c r="S22" s="303">
        <f t="shared" si="29"/>
        <v>0.34000032480893078</v>
      </c>
      <c r="T22" s="303">
        <f t="shared" si="29"/>
        <v>0</v>
      </c>
      <c r="U22" s="303">
        <f t="shared" si="29"/>
        <v>0</v>
      </c>
      <c r="V22" s="303">
        <f t="shared" si="29"/>
        <v>0</v>
      </c>
      <c r="W22" s="303">
        <f t="shared" si="29"/>
        <v>0</v>
      </c>
      <c r="X22" s="303">
        <f t="shared" si="29"/>
        <v>0</v>
      </c>
      <c r="Y22" s="303">
        <f t="shared" si="29"/>
        <v>0</v>
      </c>
      <c r="Z22" s="303">
        <f t="shared" si="23"/>
        <v>1</v>
      </c>
      <c r="AA22" s="9"/>
      <c r="AB22" s="9"/>
      <c r="AC22" s="9"/>
      <c r="AD22" s="9"/>
      <c r="AE22" s="9"/>
      <c r="AF22" s="9"/>
      <c r="AG22" s="9"/>
    </row>
    <row r="23" spans="1:33" ht="19" x14ac:dyDescent="0.25">
      <c r="A23" s="3"/>
      <c r="B23" s="6">
        <f t="shared" si="18"/>
        <v>44295</v>
      </c>
      <c r="C23" s="9">
        <f t="shared" ref="C23:L23" si="30">IF(OR(C11=0,C11=""),0,C12/C11-1)</f>
        <v>0</v>
      </c>
      <c r="D23" s="9">
        <f t="shared" si="30"/>
        <v>9.2213114754098324E-3</v>
      </c>
      <c r="E23" s="9">
        <f t="shared" si="30"/>
        <v>2.3970920522644601E-2</v>
      </c>
      <c r="F23" s="9">
        <f t="shared" si="30"/>
        <v>9.1130012150666406E-3</v>
      </c>
      <c r="G23" s="9">
        <f t="shared" si="30"/>
        <v>0</v>
      </c>
      <c r="H23" s="9">
        <f t="shared" si="30"/>
        <v>0</v>
      </c>
      <c r="I23" s="9">
        <f t="shared" si="30"/>
        <v>0</v>
      </c>
      <c r="J23" s="9">
        <f t="shared" si="30"/>
        <v>0</v>
      </c>
      <c r="K23" s="9">
        <f t="shared" si="30"/>
        <v>0</v>
      </c>
      <c r="L23" s="9">
        <f t="shared" si="30"/>
        <v>0</v>
      </c>
      <c r="M23" s="9"/>
      <c r="N23" s="9"/>
      <c r="O23" s="6">
        <f t="shared" si="19"/>
        <v>44295</v>
      </c>
      <c r="P23" s="303">
        <f t="shared" ref="P23:Y23" si="31">P12/$Z12</f>
        <v>9.6905265037161379E-3</v>
      </c>
      <c r="Q23" s="303">
        <f t="shared" si="31"/>
        <v>0.29012670535441937</v>
      </c>
      <c r="R23" s="303">
        <f t="shared" si="31"/>
        <v>0.36194865579893165</v>
      </c>
      <c r="S23" s="303">
        <f t="shared" si="31"/>
        <v>0.33823411234293277</v>
      </c>
      <c r="T23" s="303">
        <f t="shared" si="31"/>
        <v>0</v>
      </c>
      <c r="U23" s="303">
        <f t="shared" si="31"/>
        <v>0</v>
      </c>
      <c r="V23" s="303">
        <f t="shared" si="31"/>
        <v>0</v>
      </c>
      <c r="W23" s="303">
        <f t="shared" si="31"/>
        <v>0</v>
      </c>
      <c r="X23" s="303">
        <f t="shared" si="31"/>
        <v>0</v>
      </c>
      <c r="Y23" s="303">
        <f t="shared" si="31"/>
        <v>0</v>
      </c>
      <c r="Z23" s="303">
        <f t="shared" si="23"/>
        <v>0.99999999999999989</v>
      </c>
      <c r="AA23" s="9"/>
      <c r="AB23" s="9"/>
      <c r="AC23" s="9"/>
      <c r="AD23" s="9"/>
      <c r="AE23" s="9"/>
      <c r="AF23" s="9"/>
      <c r="AG23" s="9"/>
    </row>
    <row r="24" spans="1:33" ht="19" x14ac:dyDescent="0.25">
      <c r="A24" s="3"/>
    </row>
    <row r="25" spans="1:33" ht="19" x14ac:dyDescent="0.25">
      <c r="A25" s="3"/>
      <c r="B25" t="s">
        <v>160</v>
      </c>
      <c r="C25" s="9">
        <f>_xlfn.STDEV.S(C19:C23)</f>
        <v>0</v>
      </c>
      <c r="D25" s="9">
        <f>_xlfn.STDEV.S(D19:D23)</f>
        <v>6.0302555278711973E-3</v>
      </c>
      <c r="E25" s="9">
        <f>_xlfn.STDEV.S(E19:E23)</f>
        <v>1.653119860429518E-2</v>
      </c>
      <c r="F25" s="9">
        <f t="shared" ref="F25:L25" si="32">_xlfn.STDEV.S(F19:F23)</f>
        <v>9.4569192877125476E-3</v>
      </c>
      <c r="G25" s="9">
        <f t="shared" si="32"/>
        <v>0</v>
      </c>
      <c r="H25" s="9">
        <f t="shared" si="32"/>
        <v>0</v>
      </c>
      <c r="I25" s="9">
        <f t="shared" si="32"/>
        <v>0</v>
      </c>
      <c r="J25" s="9">
        <f t="shared" si="32"/>
        <v>0</v>
      </c>
      <c r="K25" s="9">
        <f t="shared" si="32"/>
        <v>0</v>
      </c>
      <c r="L25" s="9">
        <f t="shared" si="32"/>
        <v>0</v>
      </c>
      <c r="M25" s="9"/>
      <c r="N25" s="9"/>
      <c r="O25" s="9"/>
      <c r="P25" s="9">
        <f>AVERAGE(P18:P23)</f>
        <v>9.8394144103082833E-3</v>
      </c>
      <c r="Q25" s="9">
        <f>AVERAGE(Q18:Q23)</f>
        <v>0.29430353921667279</v>
      </c>
      <c r="R25" s="9">
        <f t="shared" ref="R25:T25" si="33">AVERAGE(R18:R23)</f>
        <v>0.35541330326305648</v>
      </c>
      <c r="S25" s="9">
        <f t="shared" si="33"/>
        <v>0.34044374310996234</v>
      </c>
      <c r="T25" s="9">
        <f t="shared" si="33"/>
        <v>0</v>
      </c>
      <c r="U25" s="9"/>
      <c r="V25" s="9"/>
      <c r="W25" s="9"/>
      <c r="X25" s="9"/>
      <c r="Y25" s="9"/>
      <c r="Z25" s="9"/>
      <c r="AA25" s="9"/>
      <c r="AB25" s="9"/>
      <c r="AC25" s="9"/>
      <c r="AD25" s="9"/>
      <c r="AE25" s="9"/>
      <c r="AF25" s="9"/>
      <c r="AG25" s="9"/>
    </row>
    <row r="26" spans="1:33" ht="19" x14ac:dyDescent="0.25">
      <c r="A26" s="3"/>
    </row>
    <row r="27" spans="1:33" ht="19" x14ac:dyDescent="0.25">
      <c r="A27" s="3"/>
    </row>
    <row r="28" spans="1:33" ht="19" x14ac:dyDescent="0.25">
      <c r="A28" s="3"/>
    </row>
    <row r="29" spans="1:33" ht="19" x14ac:dyDescent="0.25">
      <c r="A29" s="3"/>
    </row>
    <row r="30" spans="1:33" ht="19" x14ac:dyDescent="0.25">
      <c r="A30" s="3"/>
      <c r="B30" s="385" t="s">
        <v>150</v>
      </c>
    </row>
    <row r="31" spans="1:33" ht="19" x14ac:dyDescent="0.25">
      <c r="A31" s="3"/>
      <c r="B31" s="4" t="s">
        <v>431</v>
      </c>
    </row>
    <row r="32" spans="1:33" x14ac:dyDescent="0.2">
      <c r="B32" t="s">
        <v>374</v>
      </c>
      <c r="C32">
        <v>0</v>
      </c>
      <c r="D32">
        <v>1</v>
      </c>
      <c r="E32">
        <v>2</v>
      </c>
      <c r="F32">
        <v>3</v>
      </c>
      <c r="G32">
        <v>4</v>
      </c>
      <c r="H32">
        <v>5</v>
      </c>
      <c r="I32">
        <v>6</v>
      </c>
      <c r="J32">
        <v>7</v>
      </c>
      <c r="K32">
        <v>8</v>
      </c>
      <c r="L32">
        <v>9</v>
      </c>
      <c r="M32">
        <v>10</v>
      </c>
      <c r="N32">
        <v>11</v>
      </c>
      <c r="O32">
        <v>12</v>
      </c>
      <c r="P32">
        <v>13</v>
      </c>
      <c r="Q32">
        <v>14</v>
      </c>
      <c r="R32">
        <v>15</v>
      </c>
      <c r="S32">
        <v>16</v>
      </c>
      <c r="T32">
        <v>17</v>
      </c>
      <c r="U32">
        <v>18</v>
      </c>
      <c r="V32">
        <v>19</v>
      </c>
      <c r="W32">
        <v>20</v>
      </c>
      <c r="X32">
        <v>21</v>
      </c>
      <c r="Y32">
        <v>22</v>
      </c>
      <c r="Z32">
        <v>23</v>
      </c>
      <c r="AA32">
        <v>24</v>
      </c>
      <c r="AB32">
        <v>25</v>
      </c>
      <c r="AC32">
        <v>26</v>
      </c>
      <c r="AD32">
        <v>27</v>
      </c>
      <c r="AE32">
        <v>28</v>
      </c>
      <c r="AF32">
        <v>29</v>
      </c>
      <c r="AG32">
        <v>30</v>
      </c>
    </row>
    <row r="33" spans="2:33" x14ac:dyDescent="0.2">
      <c r="B33" t="s">
        <v>0</v>
      </c>
      <c r="C33" t="s">
        <v>149</v>
      </c>
      <c r="D33" s="1" t="str">
        <f t="array" ref="D33:AG33">TRANSPOSE(Tickers)</f>
        <v>BWX</v>
      </c>
      <c r="E33" s="1" t="str">
        <v>EZU</v>
      </c>
      <c r="F33" s="1" t="str">
        <v>IAU</v>
      </c>
      <c r="G33" s="1" t="str">
        <v>VTI</v>
      </c>
      <c r="H33" s="1" t="str">
        <v/>
      </c>
      <c r="I33" s="1" t="str">
        <v/>
      </c>
      <c r="J33" s="1" t="str">
        <v/>
      </c>
      <c r="K33" s="1" t="str">
        <v/>
      </c>
      <c r="L33" s="1" t="str">
        <v/>
      </c>
      <c r="M33" s="1" t="str">
        <v/>
      </c>
      <c r="N33" s="1"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row>
    <row r="34" spans="2:33" x14ac:dyDescent="0.2">
      <c r="B34" s="6">
        <f t="array" ref="B34:B39">TRANSPOSE(Dates)</f>
        <v>44260</v>
      </c>
      <c r="C34" s="387">
        <v>1</v>
      </c>
      <c r="D34" s="123">
        <f>INDEX('Price Inputs'!$C$6:$J$49,MATCH(Calculations!D$33,'Price Inputs'!$C$6:$C$49,0),MATCH(Calculations!$B34,'Price Inputs'!$C$4:$J$4,0))</f>
        <v>29.61</v>
      </c>
      <c r="E34" s="123">
        <f>INDEX('Price Inputs'!$C$6:$J$49,MATCH(Calculations!E$33,'Price Inputs'!$C$6:$C$49,0),MATCH(Calculations!$B34,'Price Inputs'!$C$4:$J$4,0))</f>
        <v>0</v>
      </c>
      <c r="F34" s="123">
        <f>INDEX('Price Inputs'!$C$6:$J$49,MATCH(Calculations!F$33,'Price Inputs'!$C$6:$C$49,0),MATCH(Calculations!$B34,'Price Inputs'!$C$4:$J$4,0))</f>
        <v>16.18</v>
      </c>
      <c r="G34" s="123">
        <f>INDEX('Price Inputs'!$C$6:$J$49,MATCH(Calculations!G$33,'Price Inputs'!$C$6:$C$49,0),MATCH(Calculations!$B34,'Price Inputs'!$C$4:$J$4,0))</f>
        <v>97.67</v>
      </c>
      <c r="H34" s="123" t="str">
        <f>INDEX('Price Inputs'!$C$6:$J$49,MATCH(Calculations!H$33,'Price Inputs'!$C$6:$C$49,0),MATCH(Calculations!$B34,'Price Inputs'!$C$4:$J$4,0))</f>
        <v/>
      </c>
      <c r="I34" s="123" t="str">
        <f>INDEX('Price Inputs'!$C$6:$J$49,MATCH(Calculations!I$33,'Price Inputs'!$C$6:$C$49,0),MATCH(Calculations!$B34,'Price Inputs'!$C$4:$J$4,0))</f>
        <v/>
      </c>
      <c r="J34" s="123" t="str">
        <f>INDEX('Price Inputs'!$C$6:$J$49,MATCH(Calculations!J$33,'Price Inputs'!$C$6:$C$49,0),MATCH(Calculations!$B34,'Price Inputs'!$C$4:$J$4,0))</f>
        <v/>
      </c>
      <c r="K34" s="123" t="str">
        <f>INDEX('Price Inputs'!$C$6:$J$49,MATCH(Calculations!K$33,'Price Inputs'!$C$6:$C$49,0),MATCH(Calculations!$B34,'Price Inputs'!$C$4:$J$4,0))</f>
        <v/>
      </c>
      <c r="L34" s="123" t="str">
        <f>INDEX('Price Inputs'!$C$6:$J$49,MATCH(Calculations!L$33,'Price Inputs'!$C$6:$C$49,0),MATCH(Calculations!$B34,'Price Inputs'!$C$4:$J$4,0))</f>
        <v/>
      </c>
      <c r="M34" s="123" t="str">
        <f>INDEX('Price Inputs'!$C$6:$J$49,MATCH(Calculations!M$33,'Price Inputs'!$C$6:$C$49,0),MATCH(Calculations!$B34,'Price Inputs'!$C$4:$J$4,0))</f>
        <v/>
      </c>
      <c r="N34" s="123" t="str">
        <f>INDEX('Price Inputs'!$C$6:$J$49,MATCH(Calculations!N$33,'Price Inputs'!$C$6:$C$49,0),MATCH(Calculations!$B34,'Price Inputs'!$C$4:$J$4,0))</f>
        <v/>
      </c>
      <c r="O34" s="123" t="str">
        <f>INDEX('Price Inputs'!$C$6:$J$49,MATCH(Calculations!O$33,'Price Inputs'!$C$6:$C$49,0),MATCH(Calculations!$B34,'Price Inputs'!$C$4:$J$4,0))</f>
        <v/>
      </c>
      <c r="P34" s="123" t="str">
        <f>INDEX('Price Inputs'!$C$6:$J$49,MATCH(Calculations!P$33,'Price Inputs'!$C$6:$C$49,0),MATCH(Calculations!$B34,'Price Inputs'!$C$4:$J$4,0))</f>
        <v/>
      </c>
      <c r="Q34" s="123" t="str">
        <f>INDEX('Price Inputs'!$C$6:$J$49,MATCH(Calculations!Q$33,'Price Inputs'!$C$6:$C$49,0),MATCH(Calculations!$B34,'Price Inputs'!$C$4:$J$4,0))</f>
        <v/>
      </c>
      <c r="R34" s="123" t="str">
        <f>INDEX('Price Inputs'!$C$6:$J$49,MATCH(Calculations!R$33,'Price Inputs'!$C$6:$C$49,0),MATCH(Calculations!$B34,'Price Inputs'!$C$4:$J$4,0))</f>
        <v/>
      </c>
      <c r="S34" s="123" t="str">
        <f>INDEX('Price Inputs'!$C$6:$J$49,MATCH(Calculations!S$33,'Price Inputs'!$C$6:$C$49,0),MATCH(Calculations!$B34,'Price Inputs'!$C$4:$J$4,0))</f>
        <v/>
      </c>
      <c r="T34" s="123" t="str">
        <f>INDEX('Price Inputs'!$C$6:$J$49,MATCH(Calculations!T$33,'Price Inputs'!$C$6:$C$49,0),MATCH(Calculations!$B34,'Price Inputs'!$C$4:$J$4,0))</f>
        <v/>
      </c>
      <c r="U34" s="123" t="str">
        <f>INDEX('Price Inputs'!$C$6:$J$49,MATCH(Calculations!U$33,'Price Inputs'!$C$6:$C$49,0),MATCH(Calculations!$B34,'Price Inputs'!$C$4:$J$4,0))</f>
        <v/>
      </c>
      <c r="V34" s="123" t="str">
        <f>INDEX('Price Inputs'!$C$6:$J$49,MATCH(Calculations!V$33,'Price Inputs'!$C$6:$C$49,0),MATCH(Calculations!$B34,'Price Inputs'!$C$4:$J$4,0))</f>
        <v/>
      </c>
      <c r="W34" s="123" t="str">
        <f>INDEX('Price Inputs'!$C$6:$J$49,MATCH(Calculations!W$33,'Price Inputs'!$C$6:$C$49,0),MATCH(Calculations!$B34,'Price Inputs'!$C$4:$J$4,0))</f>
        <v/>
      </c>
      <c r="X34" s="123" t="str">
        <f>INDEX('Price Inputs'!$C$6:$J$49,MATCH(Calculations!X$33,'Price Inputs'!$C$6:$C$49,0),MATCH(Calculations!$B34,'Price Inputs'!$C$4:$J$4,0))</f>
        <v/>
      </c>
      <c r="Y34" s="123" t="str">
        <f>INDEX('Price Inputs'!$C$6:$J$49,MATCH(Calculations!Y$33,'Price Inputs'!$C$6:$C$49,0),MATCH(Calculations!$B34,'Price Inputs'!$C$4:$J$4,0))</f>
        <v/>
      </c>
      <c r="Z34" s="123" t="str">
        <f>INDEX('Price Inputs'!$C$6:$J$49,MATCH(Calculations!Z$33,'Price Inputs'!$C$6:$C$49,0),MATCH(Calculations!$B34,'Price Inputs'!$C$4:$J$4,0))</f>
        <v/>
      </c>
      <c r="AA34" s="123" t="str">
        <f>INDEX('Price Inputs'!$C$6:$J$49,MATCH(Calculations!AA$33,'Price Inputs'!$C$6:$C$49,0),MATCH(Calculations!$B34,'Price Inputs'!$C$4:$J$4,0))</f>
        <v/>
      </c>
      <c r="AB34" s="123" t="str">
        <f>INDEX('Price Inputs'!$C$6:$J$49,MATCH(Calculations!AB$33,'Price Inputs'!$C$6:$C$49,0),MATCH(Calculations!$B34,'Price Inputs'!$C$4:$J$4,0))</f>
        <v/>
      </c>
      <c r="AC34" s="123" t="str">
        <f>INDEX('Price Inputs'!$C$6:$J$49,MATCH(Calculations!AC$33,'Price Inputs'!$C$6:$C$49,0),MATCH(Calculations!$B34,'Price Inputs'!$C$4:$J$4,0))</f>
        <v/>
      </c>
      <c r="AD34" s="123" t="str">
        <f>INDEX('Price Inputs'!$C$6:$J$49,MATCH(Calculations!AD$33,'Price Inputs'!$C$6:$C$49,0),MATCH(Calculations!$B34,'Price Inputs'!$C$4:$J$4,0))</f>
        <v/>
      </c>
      <c r="AE34" s="123" t="str">
        <f>INDEX('Price Inputs'!$C$6:$J$49,MATCH(Calculations!AE$33,'Price Inputs'!$C$6:$C$49,0),MATCH(Calculations!$B34,'Price Inputs'!$C$4:$J$4,0))</f>
        <v/>
      </c>
      <c r="AF34" s="123" t="str">
        <f>INDEX('Price Inputs'!$C$6:$J$49,MATCH(Calculations!AF$33,'Price Inputs'!$C$6:$C$49,0),MATCH(Calculations!$B34,'Price Inputs'!$C$4:$J$4,0))</f>
        <v/>
      </c>
      <c r="AG34" s="123" t="str">
        <f>INDEX('Price Inputs'!$C$6:$J$49,MATCH(Calculations!AG$33,'Price Inputs'!$C$6:$C$49,0),MATCH(Calculations!$B34,'Price Inputs'!$C$4:$J$4,0))</f>
        <v/>
      </c>
    </row>
    <row r="35" spans="2:33" x14ac:dyDescent="0.2">
      <c r="B35" s="6">
        <v>44267</v>
      </c>
      <c r="C35" s="387">
        <v>1</v>
      </c>
      <c r="D35" s="123">
        <f>INDEX('Price Inputs'!$C$6:$J$49,MATCH(Calculations!D$33,'Price Inputs'!$C$6:$C$49,0),MATCH(Calculations!$B35,'Price Inputs'!$C$4:$J$4,0))</f>
        <v>29.65</v>
      </c>
      <c r="E35" s="123">
        <f>INDEX('Price Inputs'!$C$6:$J$49,MATCH(Calculations!E$33,'Price Inputs'!$C$6:$C$49,0),MATCH(Calculations!$B35,'Price Inputs'!$C$4:$J$4,0))</f>
        <v>46.55</v>
      </c>
      <c r="F35" s="123">
        <f>INDEX('Price Inputs'!$C$6:$J$49,MATCH(Calculations!F$33,'Price Inputs'!$C$6:$C$49,0),MATCH(Calculations!$B35,'Price Inputs'!$C$4:$J$4,0))</f>
        <v>16.440000000000001</v>
      </c>
      <c r="G35" s="123">
        <f>INDEX('Price Inputs'!$C$6:$J$49,MATCH(Calculations!G$33,'Price Inputs'!$C$6:$C$49,0),MATCH(Calculations!$B35,'Price Inputs'!$C$4:$J$4,0))</f>
        <v>100.88</v>
      </c>
      <c r="H35" s="123">
        <f>INDEX('Price Inputs'!$C$6:$J$49,MATCH(Calculations!H$33,'Price Inputs'!$C$6:$C$49,0),MATCH(Calculations!$B35,'Price Inputs'!$C$4:$J$4,0))</f>
        <v>0</v>
      </c>
      <c r="I35" s="123">
        <f>INDEX('Price Inputs'!$C$6:$J$49,MATCH(Calculations!I$33,'Price Inputs'!$C$6:$C$49,0),MATCH(Calculations!$B35,'Price Inputs'!$C$4:$J$4,0))</f>
        <v>0</v>
      </c>
      <c r="J35" s="123">
        <f>INDEX('Price Inputs'!$C$6:$J$49,MATCH(Calculations!J$33,'Price Inputs'!$C$6:$C$49,0),MATCH(Calculations!$B35,'Price Inputs'!$C$4:$J$4,0))</f>
        <v>0</v>
      </c>
      <c r="K35" s="123">
        <f>INDEX('Price Inputs'!$C$6:$J$49,MATCH(Calculations!K$33,'Price Inputs'!$C$6:$C$49,0),MATCH(Calculations!$B35,'Price Inputs'!$C$4:$J$4,0))</f>
        <v>0</v>
      </c>
      <c r="L35" s="123">
        <f>INDEX('Price Inputs'!$C$6:$J$49,MATCH(Calculations!L$33,'Price Inputs'!$C$6:$C$49,0),MATCH(Calculations!$B35,'Price Inputs'!$C$4:$J$4,0))</f>
        <v>0</v>
      </c>
      <c r="M35" s="123">
        <f>INDEX('Price Inputs'!$C$6:$J$49,MATCH(Calculations!M$33,'Price Inputs'!$C$6:$C$49,0),MATCH(Calculations!$B35,'Price Inputs'!$C$4:$J$4,0))</f>
        <v>0</v>
      </c>
      <c r="N35" s="123">
        <f>INDEX('Price Inputs'!$C$6:$J$49,MATCH(Calculations!N$33,'Price Inputs'!$C$6:$C$49,0),MATCH(Calculations!$B35,'Price Inputs'!$C$4:$J$4,0))</f>
        <v>0</v>
      </c>
      <c r="O35" s="123">
        <f>INDEX('Price Inputs'!$C$6:$J$49,MATCH(Calculations!O$33,'Price Inputs'!$C$6:$C$49,0),MATCH(Calculations!$B35,'Price Inputs'!$C$4:$J$4,0))</f>
        <v>0</v>
      </c>
      <c r="P35" s="123">
        <f>INDEX('Price Inputs'!$C$6:$J$49,MATCH(Calculations!P$33,'Price Inputs'!$C$6:$C$49,0),MATCH(Calculations!$B35,'Price Inputs'!$C$4:$J$4,0))</f>
        <v>0</v>
      </c>
      <c r="Q35" s="123">
        <f>INDEX('Price Inputs'!$C$6:$J$49,MATCH(Calculations!Q$33,'Price Inputs'!$C$6:$C$49,0),MATCH(Calculations!$B35,'Price Inputs'!$C$4:$J$4,0))</f>
        <v>0</v>
      </c>
      <c r="R35" s="123">
        <f>INDEX('Price Inputs'!$C$6:$J$49,MATCH(Calculations!R$33,'Price Inputs'!$C$6:$C$49,0),MATCH(Calculations!$B35,'Price Inputs'!$C$4:$J$4,0))</f>
        <v>0</v>
      </c>
      <c r="S35" s="123">
        <f>INDEX('Price Inputs'!$C$6:$J$49,MATCH(Calculations!S$33,'Price Inputs'!$C$6:$C$49,0),MATCH(Calculations!$B35,'Price Inputs'!$C$4:$J$4,0))</f>
        <v>0</v>
      </c>
      <c r="T35" s="123">
        <f>INDEX('Price Inputs'!$C$6:$J$49,MATCH(Calculations!T$33,'Price Inputs'!$C$6:$C$49,0),MATCH(Calculations!$B35,'Price Inputs'!$C$4:$J$4,0))</f>
        <v>0</v>
      </c>
      <c r="U35" s="123">
        <f>INDEX('Price Inputs'!$C$6:$J$49,MATCH(Calculations!U$33,'Price Inputs'!$C$6:$C$49,0),MATCH(Calculations!$B35,'Price Inputs'!$C$4:$J$4,0))</f>
        <v>0</v>
      </c>
      <c r="V35" s="123">
        <f>INDEX('Price Inputs'!$C$6:$J$49,MATCH(Calculations!V$33,'Price Inputs'!$C$6:$C$49,0),MATCH(Calculations!$B35,'Price Inputs'!$C$4:$J$4,0))</f>
        <v>0</v>
      </c>
      <c r="W35" s="123">
        <f>INDEX('Price Inputs'!$C$6:$J$49,MATCH(Calculations!W$33,'Price Inputs'!$C$6:$C$49,0),MATCH(Calculations!$B35,'Price Inputs'!$C$4:$J$4,0))</f>
        <v>0</v>
      </c>
      <c r="X35" s="123">
        <f>INDEX('Price Inputs'!$C$6:$J$49,MATCH(Calculations!X$33,'Price Inputs'!$C$6:$C$49,0),MATCH(Calculations!$B35,'Price Inputs'!$C$4:$J$4,0))</f>
        <v>0</v>
      </c>
      <c r="Y35" s="123">
        <f>INDEX('Price Inputs'!$C$6:$J$49,MATCH(Calculations!Y$33,'Price Inputs'!$C$6:$C$49,0),MATCH(Calculations!$B35,'Price Inputs'!$C$4:$J$4,0))</f>
        <v>0</v>
      </c>
      <c r="Z35" s="123">
        <f>INDEX('Price Inputs'!$C$6:$J$49,MATCH(Calculations!Z$33,'Price Inputs'!$C$6:$C$49,0),MATCH(Calculations!$B35,'Price Inputs'!$C$4:$J$4,0))</f>
        <v>0</v>
      </c>
      <c r="AA35" s="123">
        <f>INDEX('Price Inputs'!$C$6:$J$49,MATCH(Calculations!AA$33,'Price Inputs'!$C$6:$C$49,0),MATCH(Calculations!$B35,'Price Inputs'!$C$4:$J$4,0))</f>
        <v>0</v>
      </c>
      <c r="AB35" s="123">
        <f>INDEX('Price Inputs'!$C$6:$J$49,MATCH(Calculations!AB$33,'Price Inputs'!$C$6:$C$49,0),MATCH(Calculations!$B35,'Price Inputs'!$C$4:$J$4,0))</f>
        <v>0</v>
      </c>
      <c r="AC35" s="123">
        <f>INDEX('Price Inputs'!$C$6:$J$49,MATCH(Calculations!AC$33,'Price Inputs'!$C$6:$C$49,0),MATCH(Calculations!$B35,'Price Inputs'!$C$4:$J$4,0))</f>
        <v>0</v>
      </c>
      <c r="AD35" s="123">
        <f>INDEX('Price Inputs'!$C$6:$J$49,MATCH(Calculations!AD$33,'Price Inputs'!$C$6:$C$49,0),MATCH(Calculations!$B35,'Price Inputs'!$C$4:$J$4,0))</f>
        <v>0</v>
      </c>
      <c r="AE35" s="123">
        <f>INDEX('Price Inputs'!$C$6:$J$49,MATCH(Calculations!AE$33,'Price Inputs'!$C$6:$C$49,0),MATCH(Calculations!$B35,'Price Inputs'!$C$4:$J$4,0))</f>
        <v>0</v>
      </c>
      <c r="AF35" s="123">
        <f>INDEX('Price Inputs'!$C$6:$J$49,MATCH(Calculations!AF$33,'Price Inputs'!$C$6:$C$49,0),MATCH(Calculations!$B35,'Price Inputs'!$C$4:$J$4,0))</f>
        <v>0</v>
      </c>
      <c r="AG35" s="123">
        <f>INDEX('Price Inputs'!$C$6:$J$49,MATCH(Calculations!AG$33,'Price Inputs'!$C$6:$C$49,0),MATCH(Calculations!$B35,'Price Inputs'!$C$4:$J$4,0))</f>
        <v>0</v>
      </c>
    </row>
    <row r="36" spans="2:33" x14ac:dyDescent="0.2">
      <c r="B36" s="6">
        <v>44274</v>
      </c>
      <c r="C36" s="387">
        <v>1</v>
      </c>
      <c r="D36" s="123">
        <f>INDEX('Price Inputs'!$C$6:$J$49,MATCH(Calculations!D$33,'Price Inputs'!$C$6:$C$49,0),MATCH(Calculations!$B36,'Price Inputs'!$C$4:$J$4,0))</f>
        <v>29.58</v>
      </c>
      <c r="E36" s="123">
        <f>INDEX('Price Inputs'!$C$6:$J$49,MATCH(Calculations!E$33,'Price Inputs'!$C$6:$C$49,0),MATCH(Calculations!$B36,'Price Inputs'!$C$4:$J$4,0))</f>
        <v>46.2</v>
      </c>
      <c r="F36" s="123">
        <f>INDEX('Price Inputs'!$C$6:$J$49,MATCH(Calculations!F$33,'Price Inputs'!$C$6:$C$49,0),MATCH(Calculations!$B36,'Price Inputs'!$C$4:$J$4,0))</f>
        <v>16.61</v>
      </c>
      <c r="G36" s="123">
        <f>INDEX('Price Inputs'!$C$6:$J$49,MATCH(Calculations!G$33,'Price Inputs'!$C$6:$C$49,0),MATCH(Calculations!$B36,'Price Inputs'!$C$4:$J$4,0))</f>
        <v>99.88</v>
      </c>
      <c r="H36" s="123">
        <f>INDEX('Price Inputs'!$C$6:$J$49,MATCH(Calculations!H$33,'Price Inputs'!$C$6:$C$49,0),MATCH(Calculations!$B36,'Price Inputs'!$C$4:$J$4,0))</f>
        <v>0</v>
      </c>
      <c r="I36" s="123">
        <f>INDEX('Price Inputs'!$C$6:$J$49,MATCH(Calculations!I$33,'Price Inputs'!$C$6:$C$49,0),MATCH(Calculations!$B36,'Price Inputs'!$C$4:$J$4,0))</f>
        <v>0</v>
      </c>
      <c r="J36" s="123">
        <f>INDEX('Price Inputs'!$C$6:$J$49,MATCH(Calculations!J$33,'Price Inputs'!$C$6:$C$49,0),MATCH(Calculations!$B36,'Price Inputs'!$C$4:$J$4,0))</f>
        <v>0</v>
      </c>
      <c r="K36" s="123">
        <f>INDEX('Price Inputs'!$C$6:$J$49,MATCH(Calculations!K$33,'Price Inputs'!$C$6:$C$49,0),MATCH(Calculations!$B36,'Price Inputs'!$C$4:$J$4,0))</f>
        <v>0</v>
      </c>
      <c r="L36" s="123">
        <f>INDEX('Price Inputs'!$C$6:$J$49,MATCH(Calculations!L$33,'Price Inputs'!$C$6:$C$49,0),MATCH(Calculations!$B36,'Price Inputs'!$C$4:$J$4,0))</f>
        <v>0</v>
      </c>
      <c r="M36" s="123">
        <f>INDEX('Price Inputs'!$C$6:$J$49,MATCH(Calculations!M$33,'Price Inputs'!$C$6:$C$49,0),MATCH(Calculations!$B36,'Price Inputs'!$C$4:$J$4,0))</f>
        <v>0</v>
      </c>
      <c r="N36" s="123">
        <f>INDEX('Price Inputs'!$C$6:$J$49,MATCH(Calculations!N$33,'Price Inputs'!$C$6:$C$49,0),MATCH(Calculations!$B36,'Price Inputs'!$C$4:$J$4,0))</f>
        <v>0</v>
      </c>
      <c r="O36" s="123">
        <f>INDEX('Price Inputs'!$C$6:$J$49,MATCH(Calculations!O$33,'Price Inputs'!$C$6:$C$49,0),MATCH(Calculations!$B36,'Price Inputs'!$C$4:$J$4,0))</f>
        <v>0</v>
      </c>
      <c r="P36" s="123">
        <f>INDEX('Price Inputs'!$C$6:$J$49,MATCH(Calculations!P$33,'Price Inputs'!$C$6:$C$49,0),MATCH(Calculations!$B36,'Price Inputs'!$C$4:$J$4,0))</f>
        <v>0</v>
      </c>
      <c r="Q36" s="123">
        <f>INDEX('Price Inputs'!$C$6:$J$49,MATCH(Calculations!Q$33,'Price Inputs'!$C$6:$C$49,0),MATCH(Calculations!$B36,'Price Inputs'!$C$4:$J$4,0))</f>
        <v>0</v>
      </c>
      <c r="R36" s="123">
        <f>INDEX('Price Inputs'!$C$6:$J$49,MATCH(Calculations!R$33,'Price Inputs'!$C$6:$C$49,0),MATCH(Calculations!$B36,'Price Inputs'!$C$4:$J$4,0))</f>
        <v>0</v>
      </c>
      <c r="S36" s="123">
        <f>INDEX('Price Inputs'!$C$6:$J$49,MATCH(Calculations!S$33,'Price Inputs'!$C$6:$C$49,0),MATCH(Calculations!$B36,'Price Inputs'!$C$4:$J$4,0))</f>
        <v>0</v>
      </c>
      <c r="T36" s="123">
        <f>INDEX('Price Inputs'!$C$6:$J$49,MATCH(Calculations!T$33,'Price Inputs'!$C$6:$C$49,0),MATCH(Calculations!$B36,'Price Inputs'!$C$4:$J$4,0))</f>
        <v>0</v>
      </c>
      <c r="U36" s="123">
        <f>INDEX('Price Inputs'!$C$6:$J$49,MATCH(Calculations!U$33,'Price Inputs'!$C$6:$C$49,0),MATCH(Calculations!$B36,'Price Inputs'!$C$4:$J$4,0))</f>
        <v>0</v>
      </c>
      <c r="V36" s="123">
        <f>INDEX('Price Inputs'!$C$6:$J$49,MATCH(Calculations!V$33,'Price Inputs'!$C$6:$C$49,0),MATCH(Calculations!$B36,'Price Inputs'!$C$4:$J$4,0))</f>
        <v>0</v>
      </c>
      <c r="W36" s="123">
        <f>INDEX('Price Inputs'!$C$6:$J$49,MATCH(Calculations!W$33,'Price Inputs'!$C$6:$C$49,0),MATCH(Calculations!$B36,'Price Inputs'!$C$4:$J$4,0))</f>
        <v>0</v>
      </c>
      <c r="X36" s="123">
        <f>INDEX('Price Inputs'!$C$6:$J$49,MATCH(Calculations!X$33,'Price Inputs'!$C$6:$C$49,0),MATCH(Calculations!$B36,'Price Inputs'!$C$4:$J$4,0))</f>
        <v>0</v>
      </c>
      <c r="Y36" s="123">
        <f>INDEX('Price Inputs'!$C$6:$J$49,MATCH(Calculations!Y$33,'Price Inputs'!$C$6:$C$49,0),MATCH(Calculations!$B36,'Price Inputs'!$C$4:$J$4,0))</f>
        <v>0</v>
      </c>
      <c r="Z36" s="123">
        <f>INDEX('Price Inputs'!$C$6:$J$49,MATCH(Calculations!Z$33,'Price Inputs'!$C$6:$C$49,0),MATCH(Calculations!$B36,'Price Inputs'!$C$4:$J$4,0))</f>
        <v>0</v>
      </c>
      <c r="AA36" s="123">
        <f>INDEX('Price Inputs'!$C$6:$J$49,MATCH(Calculations!AA$33,'Price Inputs'!$C$6:$C$49,0),MATCH(Calculations!$B36,'Price Inputs'!$C$4:$J$4,0))</f>
        <v>0</v>
      </c>
      <c r="AB36" s="123">
        <f>INDEX('Price Inputs'!$C$6:$J$49,MATCH(Calculations!AB$33,'Price Inputs'!$C$6:$C$49,0),MATCH(Calculations!$B36,'Price Inputs'!$C$4:$J$4,0))</f>
        <v>0</v>
      </c>
      <c r="AC36" s="123">
        <f>INDEX('Price Inputs'!$C$6:$J$49,MATCH(Calculations!AC$33,'Price Inputs'!$C$6:$C$49,0),MATCH(Calculations!$B36,'Price Inputs'!$C$4:$J$4,0))</f>
        <v>0</v>
      </c>
      <c r="AD36" s="123">
        <f>INDEX('Price Inputs'!$C$6:$J$49,MATCH(Calculations!AD$33,'Price Inputs'!$C$6:$C$49,0),MATCH(Calculations!$B36,'Price Inputs'!$C$4:$J$4,0))</f>
        <v>0</v>
      </c>
      <c r="AE36" s="123">
        <f>INDEX('Price Inputs'!$C$6:$J$49,MATCH(Calculations!AE$33,'Price Inputs'!$C$6:$C$49,0),MATCH(Calculations!$B36,'Price Inputs'!$C$4:$J$4,0))</f>
        <v>0</v>
      </c>
      <c r="AF36" s="123">
        <f>INDEX('Price Inputs'!$C$6:$J$49,MATCH(Calculations!AF$33,'Price Inputs'!$C$6:$C$49,0),MATCH(Calculations!$B36,'Price Inputs'!$C$4:$J$4,0))</f>
        <v>0</v>
      </c>
      <c r="AG36" s="123">
        <f>INDEX('Price Inputs'!$C$6:$J$49,MATCH(Calculations!AG$33,'Price Inputs'!$C$6:$C$49,0),MATCH(Calculations!$B36,'Price Inputs'!$C$4:$J$4,0))</f>
        <v>0</v>
      </c>
    </row>
    <row r="37" spans="2:33" x14ac:dyDescent="0.2">
      <c r="B37" s="6">
        <v>44281</v>
      </c>
      <c r="C37" s="387">
        <v>1</v>
      </c>
      <c r="D37" s="123">
        <f>INDEX('Price Inputs'!$C$6:$J$49,MATCH(Calculations!D$33,'Price Inputs'!$C$6:$C$49,0),MATCH(Calculations!$B37,'Price Inputs'!$C$4:$J$4,0))</f>
        <v>29.46</v>
      </c>
      <c r="E37" s="123">
        <f>INDEX('Price Inputs'!$C$6:$J$49,MATCH(Calculations!E$33,'Price Inputs'!$C$6:$C$49,0),MATCH(Calculations!$B37,'Price Inputs'!$C$4:$J$4,0))</f>
        <v>46.48</v>
      </c>
      <c r="F37" s="123">
        <f>INDEX('Price Inputs'!$C$6:$J$49,MATCH(Calculations!F$33,'Price Inputs'!$C$6:$C$49,0),MATCH(Calculations!$B37,'Price Inputs'!$C$4:$J$4,0))</f>
        <v>16.5</v>
      </c>
      <c r="G37" s="123">
        <f>INDEX('Price Inputs'!$C$6:$J$49,MATCH(Calculations!G$33,'Price Inputs'!$C$6:$C$49,0),MATCH(Calculations!$B37,'Price Inputs'!$C$4:$J$4,0))</f>
        <v>100.45</v>
      </c>
      <c r="H37" s="123">
        <f>INDEX('Price Inputs'!$C$6:$J$49,MATCH(Calculations!H$33,'Price Inputs'!$C$6:$C$49,0),MATCH(Calculations!$B37,'Price Inputs'!$C$4:$J$4,0))</f>
        <v>0</v>
      </c>
      <c r="I37" s="123">
        <f>INDEX('Price Inputs'!$C$6:$J$49,MATCH(Calculations!I$33,'Price Inputs'!$C$6:$C$49,0),MATCH(Calculations!$B37,'Price Inputs'!$C$4:$J$4,0))</f>
        <v>0</v>
      </c>
      <c r="J37" s="123">
        <f>INDEX('Price Inputs'!$C$6:$J$49,MATCH(Calculations!J$33,'Price Inputs'!$C$6:$C$49,0),MATCH(Calculations!$B37,'Price Inputs'!$C$4:$J$4,0))</f>
        <v>0</v>
      </c>
      <c r="K37" s="123">
        <f>INDEX('Price Inputs'!$C$6:$J$49,MATCH(Calculations!K$33,'Price Inputs'!$C$6:$C$49,0),MATCH(Calculations!$B37,'Price Inputs'!$C$4:$J$4,0))</f>
        <v>0</v>
      </c>
      <c r="L37" s="123">
        <f>INDEX('Price Inputs'!$C$6:$J$49,MATCH(Calculations!L$33,'Price Inputs'!$C$6:$C$49,0),MATCH(Calculations!$B37,'Price Inputs'!$C$4:$J$4,0))</f>
        <v>0</v>
      </c>
      <c r="M37" s="123">
        <f>INDEX('Price Inputs'!$C$6:$J$49,MATCH(Calculations!M$33,'Price Inputs'!$C$6:$C$49,0),MATCH(Calculations!$B37,'Price Inputs'!$C$4:$J$4,0))</f>
        <v>0</v>
      </c>
      <c r="N37" s="123">
        <f>INDEX('Price Inputs'!$C$6:$J$49,MATCH(Calculations!N$33,'Price Inputs'!$C$6:$C$49,0),MATCH(Calculations!$B37,'Price Inputs'!$C$4:$J$4,0))</f>
        <v>0</v>
      </c>
      <c r="O37" s="123">
        <f>INDEX('Price Inputs'!$C$6:$J$49,MATCH(Calculations!O$33,'Price Inputs'!$C$6:$C$49,0),MATCH(Calculations!$B37,'Price Inputs'!$C$4:$J$4,0))</f>
        <v>0</v>
      </c>
      <c r="P37" s="123">
        <f>INDEX('Price Inputs'!$C$6:$J$49,MATCH(Calculations!P$33,'Price Inputs'!$C$6:$C$49,0),MATCH(Calculations!$B37,'Price Inputs'!$C$4:$J$4,0))</f>
        <v>0</v>
      </c>
      <c r="Q37" s="123">
        <f>INDEX('Price Inputs'!$C$6:$J$49,MATCH(Calculations!Q$33,'Price Inputs'!$C$6:$C$49,0),MATCH(Calculations!$B37,'Price Inputs'!$C$4:$J$4,0))</f>
        <v>0</v>
      </c>
      <c r="R37" s="123">
        <f>INDEX('Price Inputs'!$C$6:$J$49,MATCH(Calculations!R$33,'Price Inputs'!$C$6:$C$49,0),MATCH(Calculations!$B37,'Price Inputs'!$C$4:$J$4,0))</f>
        <v>0</v>
      </c>
      <c r="S37" s="123">
        <f>INDEX('Price Inputs'!$C$6:$J$49,MATCH(Calculations!S$33,'Price Inputs'!$C$6:$C$49,0),MATCH(Calculations!$B37,'Price Inputs'!$C$4:$J$4,0))</f>
        <v>0</v>
      </c>
      <c r="T37" s="123">
        <f>INDEX('Price Inputs'!$C$6:$J$49,MATCH(Calculations!T$33,'Price Inputs'!$C$6:$C$49,0),MATCH(Calculations!$B37,'Price Inputs'!$C$4:$J$4,0))</f>
        <v>0</v>
      </c>
      <c r="U37" s="123">
        <f>INDEX('Price Inputs'!$C$6:$J$49,MATCH(Calculations!U$33,'Price Inputs'!$C$6:$C$49,0),MATCH(Calculations!$B37,'Price Inputs'!$C$4:$J$4,0))</f>
        <v>0</v>
      </c>
      <c r="V37" s="123">
        <f>INDEX('Price Inputs'!$C$6:$J$49,MATCH(Calculations!V$33,'Price Inputs'!$C$6:$C$49,0),MATCH(Calculations!$B37,'Price Inputs'!$C$4:$J$4,0))</f>
        <v>0</v>
      </c>
      <c r="W37" s="123">
        <f>INDEX('Price Inputs'!$C$6:$J$49,MATCH(Calculations!W$33,'Price Inputs'!$C$6:$C$49,0),MATCH(Calculations!$B37,'Price Inputs'!$C$4:$J$4,0))</f>
        <v>0</v>
      </c>
      <c r="X37" s="123">
        <f>INDEX('Price Inputs'!$C$6:$J$49,MATCH(Calculations!X$33,'Price Inputs'!$C$6:$C$49,0),MATCH(Calculations!$B37,'Price Inputs'!$C$4:$J$4,0))</f>
        <v>0</v>
      </c>
      <c r="Y37" s="123">
        <f>INDEX('Price Inputs'!$C$6:$J$49,MATCH(Calculations!Y$33,'Price Inputs'!$C$6:$C$49,0),MATCH(Calculations!$B37,'Price Inputs'!$C$4:$J$4,0))</f>
        <v>0</v>
      </c>
      <c r="Z37" s="123">
        <f>INDEX('Price Inputs'!$C$6:$J$49,MATCH(Calculations!Z$33,'Price Inputs'!$C$6:$C$49,0),MATCH(Calculations!$B37,'Price Inputs'!$C$4:$J$4,0))</f>
        <v>0</v>
      </c>
      <c r="AA37" s="123">
        <f>INDEX('Price Inputs'!$C$6:$J$49,MATCH(Calculations!AA$33,'Price Inputs'!$C$6:$C$49,0),MATCH(Calculations!$B37,'Price Inputs'!$C$4:$J$4,0))</f>
        <v>0</v>
      </c>
      <c r="AB37" s="123">
        <f>INDEX('Price Inputs'!$C$6:$J$49,MATCH(Calculations!AB$33,'Price Inputs'!$C$6:$C$49,0),MATCH(Calculations!$B37,'Price Inputs'!$C$4:$J$4,0))</f>
        <v>0</v>
      </c>
      <c r="AC37" s="123">
        <f>INDEX('Price Inputs'!$C$6:$J$49,MATCH(Calculations!AC$33,'Price Inputs'!$C$6:$C$49,0),MATCH(Calculations!$B37,'Price Inputs'!$C$4:$J$4,0))</f>
        <v>0</v>
      </c>
      <c r="AD37" s="123">
        <f>INDEX('Price Inputs'!$C$6:$J$49,MATCH(Calculations!AD$33,'Price Inputs'!$C$6:$C$49,0),MATCH(Calculations!$B37,'Price Inputs'!$C$4:$J$4,0))</f>
        <v>0</v>
      </c>
      <c r="AE37" s="123">
        <f>INDEX('Price Inputs'!$C$6:$J$49,MATCH(Calculations!AE$33,'Price Inputs'!$C$6:$C$49,0),MATCH(Calculations!$B37,'Price Inputs'!$C$4:$J$4,0))</f>
        <v>0</v>
      </c>
      <c r="AF37" s="123">
        <f>INDEX('Price Inputs'!$C$6:$J$49,MATCH(Calculations!AF$33,'Price Inputs'!$C$6:$C$49,0),MATCH(Calculations!$B37,'Price Inputs'!$C$4:$J$4,0))</f>
        <v>0</v>
      </c>
      <c r="AG37" s="123">
        <f>INDEX('Price Inputs'!$C$6:$J$49,MATCH(Calculations!AG$33,'Price Inputs'!$C$6:$C$49,0),MATCH(Calculations!$B37,'Price Inputs'!$C$4:$J$4,0))</f>
        <v>0</v>
      </c>
    </row>
    <row r="38" spans="2:33" x14ac:dyDescent="0.2">
      <c r="B38" s="6">
        <v>44288</v>
      </c>
      <c r="C38" s="387">
        <v>1</v>
      </c>
      <c r="D38" s="123">
        <f>INDEX('Price Inputs'!$C$6:$J$49,MATCH(Calculations!D$33,'Price Inputs'!$C$6:$C$49,0),MATCH(Calculations!$B38,'Price Inputs'!$C$4:$J$4,0))</f>
        <v>29.28</v>
      </c>
      <c r="E38" s="123">
        <f>INDEX('Price Inputs'!$C$6:$J$49,MATCH(Calculations!E$33,'Price Inputs'!$C$6:$C$49,0),MATCH(Calculations!$B38,'Price Inputs'!$C$4:$J$4,0))</f>
        <v>47.21</v>
      </c>
      <c r="F38" s="123">
        <f>INDEX('Price Inputs'!$C$6:$J$49,MATCH(Calculations!F$33,'Price Inputs'!$C$6:$C$49,0),MATCH(Calculations!$B38,'Price Inputs'!$C$4:$J$4,0))</f>
        <v>16.46</v>
      </c>
      <c r="G38" s="123">
        <f>INDEX('Price Inputs'!$C$6:$J$49,MATCH(Calculations!G$33,'Price Inputs'!$C$6:$C$49,0),MATCH(Calculations!$B38,'Price Inputs'!$C$4:$J$4,0))</f>
        <v>101.79</v>
      </c>
      <c r="H38" s="123">
        <f>INDEX('Price Inputs'!$C$6:$J$49,MATCH(Calculations!H$33,'Price Inputs'!$C$6:$C$49,0),MATCH(Calculations!$B38,'Price Inputs'!$C$4:$J$4,0))</f>
        <v>0</v>
      </c>
      <c r="I38" s="123">
        <f>INDEX('Price Inputs'!$C$6:$J$49,MATCH(Calculations!I$33,'Price Inputs'!$C$6:$C$49,0),MATCH(Calculations!$B38,'Price Inputs'!$C$4:$J$4,0))</f>
        <v>0</v>
      </c>
      <c r="J38" s="123">
        <f>INDEX('Price Inputs'!$C$6:$J$49,MATCH(Calculations!J$33,'Price Inputs'!$C$6:$C$49,0),MATCH(Calculations!$B38,'Price Inputs'!$C$4:$J$4,0))</f>
        <v>0</v>
      </c>
      <c r="K38" s="123">
        <f>INDEX('Price Inputs'!$C$6:$J$49,MATCH(Calculations!K$33,'Price Inputs'!$C$6:$C$49,0),MATCH(Calculations!$B38,'Price Inputs'!$C$4:$J$4,0))</f>
        <v>0</v>
      </c>
      <c r="L38" s="123">
        <f>INDEX('Price Inputs'!$C$6:$J$49,MATCH(Calculations!L$33,'Price Inputs'!$C$6:$C$49,0),MATCH(Calculations!$B38,'Price Inputs'!$C$4:$J$4,0))</f>
        <v>0</v>
      </c>
      <c r="M38" s="123">
        <f>INDEX('Price Inputs'!$C$6:$J$49,MATCH(Calculations!M$33,'Price Inputs'!$C$6:$C$49,0),MATCH(Calculations!$B38,'Price Inputs'!$C$4:$J$4,0))</f>
        <v>0</v>
      </c>
      <c r="N38" s="123">
        <f>INDEX('Price Inputs'!$C$6:$J$49,MATCH(Calculations!N$33,'Price Inputs'!$C$6:$C$49,0),MATCH(Calculations!$B38,'Price Inputs'!$C$4:$J$4,0))</f>
        <v>0</v>
      </c>
      <c r="O38" s="123">
        <f>INDEX('Price Inputs'!$C$6:$J$49,MATCH(Calculations!O$33,'Price Inputs'!$C$6:$C$49,0),MATCH(Calculations!$B38,'Price Inputs'!$C$4:$J$4,0))</f>
        <v>0</v>
      </c>
      <c r="P38" s="123">
        <f>INDEX('Price Inputs'!$C$6:$J$49,MATCH(Calculations!P$33,'Price Inputs'!$C$6:$C$49,0),MATCH(Calculations!$B38,'Price Inputs'!$C$4:$J$4,0))</f>
        <v>0</v>
      </c>
      <c r="Q38" s="123">
        <f>INDEX('Price Inputs'!$C$6:$J$49,MATCH(Calculations!Q$33,'Price Inputs'!$C$6:$C$49,0),MATCH(Calculations!$B38,'Price Inputs'!$C$4:$J$4,0))</f>
        <v>0</v>
      </c>
      <c r="R38" s="123">
        <f>INDEX('Price Inputs'!$C$6:$J$49,MATCH(Calculations!R$33,'Price Inputs'!$C$6:$C$49,0),MATCH(Calculations!$B38,'Price Inputs'!$C$4:$J$4,0))</f>
        <v>0</v>
      </c>
      <c r="S38" s="123">
        <f>INDEX('Price Inputs'!$C$6:$J$49,MATCH(Calculations!S$33,'Price Inputs'!$C$6:$C$49,0),MATCH(Calculations!$B38,'Price Inputs'!$C$4:$J$4,0))</f>
        <v>0</v>
      </c>
      <c r="T38" s="123">
        <f>INDEX('Price Inputs'!$C$6:$J$49,MATCH(Calculations!T$33,'Price Inputs'!$C$6:$C$49,0),MATCH(Calculations!$B38,'Price Inputs'!$C$4:$J$4,0))</f>
        <v>0</v>
      </c>
      <c r="U38" s="123">
        <f>INDEX('Price Inputs'!$C$6:$J$49,MATCH(Calculations!U$33,'Price Inputs'!$C$6:$C$49,0),MATCH(Calculations!$B38,'Price Inputs'!$C$4:$J$4,0))</f>
        <v>0</v>
      </c>
      <c r="V38" s="123">
        <f>INDEX('Price Inputs'!$C$6:$J$49,MATCH(Calculations!V$33,'Price Inputs'!$C$6:$C$49,0),MATCH(Calculations!$B38,'Price Inputs'!$C$4:$J$4,0))</f>
        <v>0</v>
      </c>
      <c r="W38" s="123">
        <f>INDEX('Price Inputs'!$C$6:$J$49,MATCH(Calculations!W$33,'Price Inputs'!$C$6:$C$49,0),MATCH(Calculations!$B38,'Price Inputs'!$C$4:$J$4,0))</f>
        <v>0</v>
      </c>
      <c r="X38" s="123">
        <f>INDEX('Price Inputs'!$C$6:$J$49,MATCH(Calculations!X$33,'Price Inputs'!$C$6:$C$49,0),MATCH(Calculations!$B38,'Price Inputs'!$C$4:$J$4,0))</f>
        <v>0</v>
      </c>
      <c r="Y38" s="123">
        <f>INDEX('Price Inputs'!$C$6:$J$49,MATCH(Calculations!Y$33,'Price Inputs'!$C$6:$C$49,0),MATCH(Calculations!$B38,'Price Inputs'!$C$4:$J$4,0))</f>
        <v>0</v>
      </c>
      <c r="Z38" s="123">
        <f>INDEX('Price Inputs'!$C$6:$J$49,MATCH(Calculations!Z$33,'Price Inputs'!$C$6:$C$49,0),MATCH(Calculations!$B38,'Price Inputs'!$C$4:$J$4,0))</f>
        <v>0</v>
      </c>
      <c r="AA38" s="123">
        <f>INDEX('Price Inputs'!$C$6:$J$49,MATCH(Calculations!AA$33,'Price Inputs'!$C$6:$C$49,0),MATCH(Calculations!$B38,'Price Inputs'!$C$4:$J$4,0))</f>
        <v>0</v>
      </c>
      <c r="AB38" s="123">
        <f>INDEX('Price Inputs'!$C$6:$J$49,MATCH(Calculations!AB$33,'Price Inputs'!$C$6:$C$49,0),MATCH(Calculations!$B38,'Price Inputs'!$C$4:$J$4,0))</f>
        <v>0</v>
      </c>
      <c r="AC38" s="123">
        <f>INDEX('Price Inputs'!$C$6:$J$49,MATCH(Calculations!AC$33,'Price Inputs'!$C$6:$C$49,0),MATCH(Calculations!$B38,'Price Inputs'!$C$4:$J$4,0))</f>
        <v>0</v>
      </c>
      <c r="AD38" s="123">
        <f>INDEX('Price Inputs'!$C$6:$J$49,MATCH(Calculations!AD$33,'Price Inputs'!$C$6:$C$49,0),MATCH(Calculations!$B38,'Price Inputs'!$C$4:$J$4,0))</f>
        <v>0</v>
      </c>
      <c r="AE38" s="123">
        <f>INDEX('Price Inputs'!$C$6:$J$49,MATCH(Calculations!AE$33,'Price Inputs'!$C$6:$C$49,0),MATCH(Calculations!$B38,'Price Inputs'!$C$4:$J$4,0))</f>
        <v>0</v>
      </c>
      <c r="AF38" s="123">
        <f>INDEX('Price Inputs'!$C$6:$J$49,MATCH(Calculations!AF$33,'Price Inputs'!$C$6:$C$49,0),MATCH(Calculations!$B38,'Price Inputs'!$C$4:$J$4,0))</f>
        <v>0</v>
      </c>
      <c r="AG38" s="123">
        <f>INDEX('Price Inputs'!$C$6:$J$49,MATCH(Calculations!AG$33,'Price Inputs'!$C$6:$C$49,0),MATCH(Calculations!$B38,'Price Inputs'!$C$4:$J$4,0))</f>
        <v>0</v>
      </c>
    </row>
    <row r="39" spans="2:33" x14ac:dyDescent="0.2">
      <c r="B39" s="6">
        <v>44295</v>
      </c>
      <c r="C39" s="387">
        <v>1</v>
      </c>
      <c r="D39" s="123">
        <f>INDEX('Price Inputs'!$C$6:$J$49,MATCH(Calculations!D$33,'Price Inputs'!$C$6:$C$49,0),MATCH(Calculations!$B39,'Price Inputs'!$C$4:$J$4,0))</f>
        <v>29.55</v>
      </c>
      <c r="E39" s="123">
        <f>INDEX('Price Inputs'!$C$6:$J$49,MATCH(Calculations!E$33,'Price Inputs'!$C$6:$C$49,0),MATCH(Calculations!$B39,'Price Inputs'!$C$4:$J$4,0))</f>
        <v>47.93</v>
      </c>
      <c r="F39" s="123">
        <f>INDEX('Price Inputs'!$C$6:$J$49,MATCH(Calculations!F$33,'Price Inputs'!$C$6:$C$49,0),MATCH(Calculations!$B39,'Price Inputs'!$C$4:$J$4,0))</f>
        <v>16.61</v>
      </c>
      <c r="G39" s="123">
        <f>INDEX('Price Inputs'!$C$6:$J$49,MATCH(Calculations!G$33,'Price Inputs'!$C$6:$C$49,0),MATCH(Calculations!$B39,'Price Inputs'!$C$4:$J$4,0))</f>
        <v>104.23</v>
      </c>
      <c r="H39" s="123">
        <f>INDEX('Price Inputs'!$C$6:$J$49,MATCH(Calculations!H$33,'Price Inputs'!$C$6:$C$49,0),MATCH(Calculations!$B39,'Price Inputs'!$C$4:$J$4,0))</f>
        <v>0</v>
      </c>
      <c r="I39" s="123">
        <f>INDEX('Price Inputs'!$C$6:$J$49,MATCH(Calculations!I$33,'Price Inputs'!$C$6:$C$49,0),MATCH(Calculations!$B39,'Price Inputs'!$C$4:$J$4,0))</f>
        <v>0</v>
      </c>
      <c r="J39" s="123">
        <f>INDEX('Price Inputs'!$C$6:$J$49,MATCH(Calculations!J$33,'Price Inputs'!$C$6:$C$49,0),MATCH(Calculations!$B39,'Price Inputs'!$C$4:$J$4,0))</f>
        <v>0</v>
      </c>
      <c r="K39" s="123">
        <f>INDEX('Price Inputs'!$C$6:$J$49,MATCH(Calculations!K$33,'Price Inputs'!$C$6:$C$49,0),MATCH(Calculations!$B39,'Price Inputs'!$C$4:$J$4,0))</f>
        <v>0</v>
      </c>
      <c r="L39" s="123">
        <f>INDEX('Price Inputs'!$C$6:$J$49,MATCH(Calculations!L$33,'Price Inputs'!$C$6:$C$49,0),MATCH(Calculations!$B39,'Price Inputs'!$C$4:$J$4,0))</f>
        <v>0</v>
      </c>
      <c r="M39" s="123">
        <f>INDEX('Price Inputs'!$C$6:$J$49,MATCH(Calculations!M$33,'Price Inputs'!$C$6:$C$49,0),MATCH(Calculations!$B39,'Price Inputs'!$C$4:$J$4,0))</f>
        <v>0</v>
      </c>
      <c r="N39" s="123">
        <f>INDEX('Price Inputs'!$C$6:$J$49,MATCH(Calculations!N$33,'Price Inputs'!$C$6:$C$49,0),MATCH(Calculations!$B39,'Price Inputs'!$C$4:$J$4,0))</f>
        <v>0</v>
      </c>
      <c r="O39" s="123">
        <f>INDEX('Price Inputs'!$C$6:$J$49,MATCH(Calculations!O$33,'Price Inputs'!$C$6:$C$49,0),MATCH(Calculations!$B39,'Price Inputs'!$C$4:$J$4,0))</f>
        <v>0</v>
      </c>
      <c r="P39" s="123">
        <f>INDEX('Price Inputs'!$C$6:$J$49,MATCH(Calculations!P$33,'Price Inputs'!$C$6:$C$49,0),MATCH(Calculations!$B39,'Price Inputs'!$C$4:$J$4,0))</f>
        <v>0</v>
      </c>
      <c r="Q39" s="123">
        <f>INDEX('Price Inputs'!$C$6:$J$49,MATCH(Calculations!Q$33,'Price Inputs'!$C$6:$C$49,0),MATCH(Calculations!$B39,'Price Inputs'!$C$4:$J$4,0))</f>
        <v>0</v>
      </c>
      <c r="R39" s="123">
        <f>INDEX('Price Inputs'!$C$6:$J$49,MATCH(Calculations!R$33,'Price Inputs'!$C$6:$C$49,0),MATCH(Calculations!$B39,'Price Inputs'!$C$4:$J$4,0))</f>
        <v>0</v>
      </c>
      <c r="S39" s="123">
        <f>INDEX('Price Inputs'!$C$6:$J$49,MATCH(Calculations!S$33,'Price Inputs'!$C$6:$C$49,0),MATCH(Calculations!$B39,'Price Inputs'!$C$4:$J$4,0))</f>
        <v>0</v>
      </c>
      <c r="T39" s="123">
        <f>INDEX('Price Inputs'!$C$6:$J$49,MATCH(Calculations!T$33,'Price Inputs'!$C$6:$C$49,0),MATCH(Calculations!$B39,'Price Inputs'!$C$4:$J$4,0))</f>
        <v>0</v>
      </c>
      <c r="U39" s="123">
        <f>INDEX('Price Inputs'!$C$6:$J$49,MATCH(Calculations!U$33,'Price Inputs'!$C$6:$C$49,0),MATCH(Calculations!$B39,'Price Inputs'!$C$4:$J$4,0))</f>
        <v>0</v>
      </c>
      <c r="V39" s="123">
        <f>INDEX('Price Inputs'!$C$6:$J$49,MATCH(Calculations!V$33,'Price Inputs'!$C$6:$C$49,0),MATCH(Calculations!$B39,'Price Inputs'!$C$4:$J$4,0))</f>
        <v>0</v>
      </c>
      <c r="W39" s="123">
        <f>INDEX('Price Inputs'!$C$6:$J$49,MATCH(Calculations!W$33,'Price Inputs'!$C$6:$C$49,0),MATCH(Calculations!$B39,'Price Inputs'!$C$4:$J$4,0))</f>
        <v>0</v>
      </c>
      <c r="X39" s="123">
        <f>INDEX('Price Inputs'!$C$6:$J$49,MATCH(Calculations!X$33,'Price Inputs'!$C$6:$C$49,0),MATCH(Calculations!$B39,'Price Inputs'!$C$4:$J$4,0))</f>
        <v>0</v>
      </c>
      <c r="Y39" s="123">
        <f>INDEX('Price Inputs'!$C$6:$J$49,MATCH(Calculations!Y$33,'Price Inputs'!$C$6:$C$49,0),MATCH(Calculations!$B39,'Price Inputs'!$C$4:$J$4,0))</f>
        <v>0</v>
      </c>
      <c r="Z39" s="123">
        <f>INDEX('Price Inputs'!$C$6:$J$49,MATCH(Calculations!Z$33,'Price Inputs'!$C$6:$C$49,0),MATCH(Calculations!$B39,'Price Inputs'!$C$4:$J$4,0))</f>
        <v>0</v>
      </c>
      <c r="AA39" s="123">
        <f>INDEX('Price Inputs'!$C$6:$J$49,MATCH(Calculations!AA$33,'Price Inputs'!$C$6:$C$49,0),MATCH(Calculations!$B39,'Price Inputs'!$C$4:$J$4,0))</f>
        <v>0</v>
      </c>
      <c r="AB39" s="123">
        <f>INDEX('Price Inputs'!$C$6:$J$49,MATCH(Calculations!AB$33,'Price Inputs'!$C$6:$C$49,0),MATCH(Calculations!$B39,'Price Inputs'!$C$4:$J$4,0))</f>
        <v>0</v>
      </c>
      <c r="AC39" s="123">
        <f>INDEX('Price Inputs'!$C$6:$J$49,MATCH(Calculations!AC$33,'Price Inputs'!$C$6:$C$49,0),MATCH(Calculations!$B39,'Price Inputs'!$C$4:$J$4,0))</f>
        <v>0</v>
      </c>
      <c r="AD39" s="123">
        <f>INDEX('Price Inputs'!$C$6:$J$49,MATCH(Calculations!AD$33,'Price Inputs'!$C$6:$C$49,0),MATCH(Calculations!$B39,'Price Inputs'!$C$4:$J$4,0))</f>
        <v>0</v>
      </c>
      <c r="AE39" s="123">
        <f>INDEX('Price Inputs'!$C$6:$J$49,MATCH(Calculations!AE$33,'Price Inputs'!$C$6:$C$49,0),MATCH(Calculations!$B39,'Price Inputs'!$C$4:$J$4,0))</f>
        <v>0</v>
      </c>
      <c r="AF39" s="123">
        <f>INDEX('Price Inputs'!$C$6:$J$49,MATCH(Calculations!AF$33,'Price Inputs'!$C$6:$C$49,0),MATCH(Calculations!$B39,'Price Inputs'!$C$4:$J$4,0))</f>
        <v>0</v>
      </c>
      <c r="AG39" s="123">
        <f>INDEX('Price Inputs'!$C$6:$J$49,MATCH(Calculations!AG$33,'Price Inputs'!$C$6:$C$49,0),MATCH(Calculations!$B39,'Price Inputs'!$C$4:$J$4,0))</f>
        <v>0</v>
      </c>
    </row>
    <row r="40" spans="2:33" x14ac:dyDescent="0.2">
      <c r="B40" s="6"/>
      <c r="C40" s="6"/>
    </row>
    <row r="42" spans="2:33" x14ac:dyDescent="0.2">
      <c r="B42" t="s">
        <v>327</v>
      </c>
      <c r="C42" t="str">
        <f>C33</f>
        <v>Cash</v>
      </c>
      <c r="D42" t="str">
        <f t="shared" ref="D42:AG42" si="34">D33</f>
        <v>BWX</v>
      </c>
      <c r="E42" t="str">
        <f t="shared" si="34"/>
        <v>EZU</v>
      </c>
      <c r="F42" t="str">
        <f t="shared" si="34"/>
        <v>IAU</v>
      </c>
      <c r="G42" t="str">
        <f t="shared" si="34"/>
        <v>VTI</v>
      </c>
      <c r="H42" t="str">
        <f t="shared" si="34"/>
        <v/>
      </c>
      <c r="I42" t="str">
        <f t="shared" si="34"/>
        <v/>
      </c>
      <c r="J42" t="str">
        <f t="shared" si="34"/>
        <v/>
      </c>
      <c r="K42" t="str">
        <f t="shared" si="34"/>
        <v/>
      </c>
      <c r="L42" t="str">
        <f t="shared" si="34"/>
        <v/>
      </c>
      <c r="M42" t="str">
        <f t="shared" si="34"/>
        <v/>
      </c>
      <c r="N42" t="str">
        <f t="shared" si="34"/>
        <v/>
      </c>
      <c r="O42" t="str">
        <f t="shared" si="34"/>
        <v/>
      </c>
      <c r="P42" t="str">
        <f t="shared" si="34"/>
        <v/>
      </c>
      <c r="Q42" t="str">
        <f t="shared" si="34"/>
        <v/>
      </c>
      <c r="R42" t="str">
        <f t="shared" si="34"/>
        <v/>
      </c>
      <c r="S42" t="str">
        <f t="shared" si="34"/>
        <v/>
      </c>
      <c r="T42" t="str">
        <f t="shared" si="34"/>
        <v/>
      </c>
      <c r="U42" t="str">
        <f t="shared" si="34"/>
        <v/>
      </c>
      <c r="V42" t="str">
        <f t="shared" si="34"/>
        <v/>
      </c>
      <c r="W42" t="str">
        <f t="shared" si="34"/>
        <v/>
      </c>
      <c r="X42" t="str">
        <f t="shared" si="34"/>
        <v/>
      </c>
      <c r="Y42" t="str">
        <f t="shared" si="34"/>
        <v/>
      </c>
      <c r="Z42" t="str">
        <f t="shared" si="34"/>
        <v/>
      </c>
      <c r="AA42" t="str">
        <f t="shared" si="34"/>
        <v/>
      </c>
      <c r="AB42" t="str">
        <f>AB33</f>
        <v/>
      </c>
      <c r="AC42" t="str">
        <f t="shared" si="34"/>
        <v/>
      </c>
      <c r="AD42" t="str">
        <f t="shared" si="34"/>
        <v/>
      </c>
      <c r="AE42" t="str">
        <f t="shared" si="34"/>
        <v/>
      </c>
      <c r="AF42" t="str">
        <f t="shared" si="34"/>
        <v/>
      </c>
      <c r="AG42" t="str">
        <f t="shared" si="34"/>
        <v/>
      </c>
    </row>
    <row r="43" spans="2:33" x14ac:dyDescent="0.2">
      <c r="B43" s="6">
        <f>B35</f>
        <v>44267</v>
      </c>
      <c r="C43" s="236">
        <v>0</v>
      </c>
      <c r="D43" s="9">
        <f>IF(OR(D34=0,D34=""),0,D35/D34-1)</f>
        <v>1.350894967916183E-3</v>
      </c>
      <c r="E43" s="9">
        <f t="shared" ref="E43:AG43" si="35">IF(OR(E34=0,E34=""),0,E35/E34-1)</f>
        <v>0</v>
      </c>
      <c r="F43" s="9">
        <f t="shared" si="35"/>
        <v>1.6069221260816002E-2</v>
      </c>
      <c r="G43" s="9">
        <f t="shared" si="35"/>
        <v>3.286577249923206E-2</v>
      </c>
      <c r="H43" s="9">
        <f t="shared" si="35"/>
        <v>0</v>
      </c>
      <c r="I43" s="9">
        <f t="shared" si="35"/>
        <v>0</v>
      </c>
      <c r="J43" s="9">
        <f t="shared" si="35"/>
        <v>0</v>
      </c>
      <c r="K43" s="9">
        <f t="shared" si="35"/>
        <v>0</v>
      </c>
      <c r="L43" s="9">
        <f t="shared" si="35"/>
        <v>0</v>
      </c>
      <c r="M43" s="9">
        <f t="shared" si="35"/>
        <v>0</v>
      </c>
      <c r="N43" s="9">
        <f t="shared" si="35"/>
        <v>0</v>
      </c>
      <c r="O43" s="9">
        <f t="shared" si="35"/>
        <v>0</v>
      </c>
      <c r="P43" s="9">
        <f t="shared" si="35"/>
        <v>0</v>
      </c>
      <c r="Q43" s="9">
        <f t="shared" si="35"/>
        <v>0</v>
      </c>
      <c r="R43" s="9">
        <f t="shared" si="35"/>
        <v>0</v>
      </c>
      <c r="S43" s="9">
        <f t="shared" si="35"/>
        <v>0</v>
      </c>
      <c r="T43" s="9">
        <f t="shared" si="35"/>
        <v>0</v>
      </c>
      <c r="U43" s="9">
        <f t="shared" si="35"/>
        <v>0</v>
      </c>
      <c r="V43" s="9">
        <f t="shared" si="35"/>
        <v>0</v>
      </c>
      <c r="W43" s="9">
        <f t="shared" si="35"/>
        <v>0</v>
      </c>
      <c r="X43" s="9">
        <f t="shared" si="35"/>
        <v>0</v>
      </c>
      <c r="Y43" s="9">
        <f t="shared" si="35"/>
        <v>0</v>
      </c>
      <c r="Z43" s="9">
        <f t="shared" si="35"/>
        <v>0</v>
      </c>
      <c r="AA43" s="9">
        <f t="shared" si="35"/>
        <v>0</v>
      </c>
      <c r="AB43" s="9">
        <f t="shared" si="35"/>
        <v>0</v>
      </c>
      <c r="AC43" s="9">
        <f t="shared" si="35"/>
        <v>0</v>
      </c>
      <c r="AD43" s="9">
        <f t="shared" si="35"/>
        <v>0</v>
      </c>
      <c r="AE43" s="9">
        <f t="shared" si="35"/>
        <v>0</v>
      </c>
      <c r="AF43" s="9">
        <f t="shared" si="35"/>
        <v>0</v>
      </c>
      <c r="AG43" s="9">
        <f t="shared" si="35"/>
        <v>0</v>
      </c>
    </row>
    <row r="44" spans="2:33" x14ac:dyDescent="0.2">
      <c r="B44" s="6">
        <f>B36</f>
        <v>44274</v>
      </c>
      <c r="C44" s="236">
        <v>0</v>
      </c>
      <c r="D44" s="9">
        <f t="shared" ref="D44:AG44" si="36">IF(OR(D35=0,D35=""),0,D36/D35-1)</f>
        <v>-2.3608768971332683E-3</v>
      </c>
      <c r="E44" s="9">
        <f t="shared" si="36"/>
        <v>-7.5187969924810361E-3</v>
      </c>
      <c r="F44" s="9">
        <f t="shared" si="36"/>
        <v>1.0340632603406119E-2</v>
      </c>
      <c r="G44" s="9">
        <f t="shared" si="36"/>
        <v>-9.9127676447263724E-3</v>
      </c>
      <c r="H44" s="9">
        <f t="shared" si="36"/>
        <v>0</v>
      </c>
      <c r="I44" s="9">
        <f t="shared" si="36"/>
        <v>0</v>
      </c>
      <c r="J44" s="9">
        <f t="shared" si="36"/>
        <v>0</v>
      </c>
      <c r="K44" s="9">
        <f t="shared" si="36"/>
        <v>0</v>
      </c>
      <c r="L44" s="9">
        <f t="shared" si="36"/>
        <v>0</v>
      </c>
      <c r="M44" s="9">
        <f t="shared" si="36"/>
        <v>0</v>
      </c>
      <c r="N44" s="9">
        <f t="shared" si="36"/>
        <v>0</v>
      </c>
      <c r="O44" s="9">
        <f t="shared" si="36"/>
        <v>0</v>
      </c>
      <c r="P44" s="9">
        <f t="shared" si="36"/>
        <v>0</v>
      </c>
      <c r="Q44" s="9">
        <f t="shared" si="36"/>
        <v>0</v>
      </c>
      <c r="R44" s="9">
        <f t="shared" si="36"/>
        <v>0</v>
      </c>
      <c r="S44" s="9">
        <f t="shared" si="36"/>
        <v>0</v>
      </c>
      <c r="T44" s="9">
        <f t="shared" si="36"/>
        <v>0</v>
      </c>
      <c r="U44" s="9">
        <f t="shared" si="36"/>
        <v>0</v>
      </c>
      <c r="V44" s="9">
        <f t="shared" si="36"/>
        <v>0</v>
      </c>
      <c r="W44" s="9">
        <f t="shared" si="36"/>
        <v>0</v>
      </c>
      <c r="X44" s="9">
        <f t="shared" si="36"/>
        <v>0</v>
      </c>
      <c r="Y44" s="9">
        <f t="shared" si="36"/>
        <v>0</v>
      </c>
      <c r="Z44" s="9">
        <f t="shared" si="36"/>
        <v>0</v>
      </c>
      <c r="AA44" s="9">
        <f t="shared" si="36"/>
        <v>0</v>
      </c>
      <c r="AB44" s="9">
        <f t="shared" si="36"/>
        <v>0</v>
      </c>
      <c r="AC44" s="9">
        <f t="shared" si="36"/>
        <v>0</v>
      </c>
      <c r="AD44" s="9">
        <f t="shared" si="36"/>
        <v>0</v>
      </c>
      <c r="AE44" s="9">
        <f t="shared" si="36"/>
        <v>0</v>
      </c>
      <c r="AF44" s="9">
        <f t="shared" si="36"/>
        <v>0</v>
      </c>
      <c r="AG44" s="9">
        <f t="shared" si="36"/>
        <v>0</v>
      </c>
    </row>
    <row r="45" spans="2:33" x14ac:dyDescent="0.2">
      <c r="B45" s="6">
        <f>B37</f>
        <v>44281</v>
      </c>
      <c r="C45" s="236">
        <v>0</v>
      </c>
      <c r="D45" s="9">
        <f t="shared" ref="D45:AG45" si="37">IF(OR(D36=0,D36=""),0,D37/D36-1)</f>
        <v>-4.0567951318457585E-3</v>
      </c>
      <c r="E45" s="9">
        <f t="shared" si="37"/>
        <v>6.0606060606058776E-3</v>
      </c>
      <c r="F45" s="9">
        <f t="shared" si="37"/>
        <v>-6.6225165562913135E-3</v>
      </c>
      <c r="G45" s="9">
        <f t="shared" si="37"/>
        <v>5.7068482178614932E-3</v>
      </c>
      <c r="H45" s="9">
        <f t="shared" si="37"/>
        <v>0</v>
      </c>
      <c r="I45" s="9">
        <f t="shared" si="37"/>
        <v>0</v>
      </c>
      <c r="J45" s="9">
        <f t="shared" si="37"/>
        <v>0</v>
      </c>
      <c r="K45" s="9">
        <f t="shared" si="37"/>
        <v>0</v>
      </c>
      <c r="L45" s="9">
        <f t="shared" si="37"/>
        <v>0</v>
      </c>
      <c r="M45" s="9">
        <f t="shared" si="37"/>
        <v>0</v>
      </c>
      <c r="N45" s="9">
        <f t="shared" si="37"/>
        <v>0</v>
      </c>
      <c r="O45" s="9">
        <f t="shared" si="37"/>
        <v>0</v>
      </c>
      <c r="P45" s="9">
        <f t="shared" si="37"/>
        <v>0</v>
      </c>
      <c r="Q45" s="9">
        <f t="shared" si="37"/>
        <v>0</v>
      </c>
      <c r="R45" s="9">
        <f t="shared" si="37"/>
        <v>0</v>
      </c>
      <c r="S45" s="9">
        <f t="shared" si="37"/>
        <v>0</v>
      </c>
      <c r="T45" s="9">
        <f t="shared" si="37"/>
        <v>0</v>
      </c>
      <c r="U45" s="9">
        <f t="shared" si="37"/>
        <v>0</v>
      </c>
      <c r="V45" s="9">
        <f t="shared" si="37"/>
        <v>0</v>
      </c>
      <c r="W45" s="9">
        <f t="shared" si="37"/>
        <v>0</v>
      </c>
      <c r="X45" s="9">
        <f t="shared" si="37"/>
        <v>0</v>
      </c>
      <c r="Y45" s="9">
        <f t="shared" si="37"/>
        <v>0</v>
      </c>
      <c r="Z45" s="9">
        <f t="shared" si="37"/>
        <v>0</v>
      </c>
      <c r="AA45" s="9">
        <f t="shared" si="37"/>
        <v>0</v>
      </c>
      <c r="AB45" s="9">
        <f t="shared" si="37"/>
        <v>0</v>
      </c>
      <c r="AC45" s="9">
        <f t="shared" si="37"/>
        <v>0</v>
      </c>
      <c r="AD45" s="9">
        <f t="shared" si="37"/>
        <v>0</v>
      </c>
      <c r="AE45" s="9">
        <f t="shared" si="37"/>
        <v>0</v>
      </c>
      <c r="AF45" s="9">
        <f t="shared" si="37"/>
        <v>0</v>
      </c>
      <c r="AG45" s="9">
        <f t="shared" si="37"/>
        <v>0</v>
      </c>
    </row>
    <row r="46" spans="2:33" x14ac:dyDescent="0.2">
      <c r="B46" s="6">
        <f>B38</f>
        <v>44288</v>
      </c>
      <c r="C46" s="236">
        <v>0</v>
      </c>
      <c r="D46" s="9">
        <f t="shared" ref="D46:AG46" si="38">IF(OR(D37=0,D37=""),0,D38/D37-1)</f>
        <v>-6.109979633401208E-3</v>
      </c>
      <c r="E46" s="9">
        <f t="shared" si="38"/>
        <v>1.5705679862306532E-2</v>
      </c>
      <c r="F46" s="9">
        <f t="shared" si="38"/>
        <v>-2.4242424242423288E-3</v>
      </c>
      <c r="G46" s="9">
        <f t="shared" si="38"/>
        <v>1.3339970134395251E-2</v>
      </c>
      <c r="H46" s="9">
        <f t="shared" si="38"/>
        <v>0</v>
      </c>
      <c r="I46" s="9">
        <f t="shared" si="38"/>
        <v>0</v>
      </c>
      <c r="J46" s="9">
        <f t="shared" si="38"/>
        <v>0</v>
      </c>
      <c r="K46" s="9">
        <f t="shared" si="38"/>
        <v>0</v>
      </c>
      <c r="L46" s="9">
        <f t="shared" si="38"/>
        <v>0</v>
      </c>
      <c r="M46" s="9">
        <f t="shared" si="38"/>
        <v>0</v>
      </c>
      <c r="N46" s="9">
        <f t="shared" si="38"/>
        <v>0</v>
      </c>
      <c r="O46" s="9">
        <f t="shared" si="38"/>
        <v>0</v>
      </c>
      <c r="P46" s="9">
        <f t="shared" si="38"/>
        <v>0</v>
      </c>
      <c r="Q46" s="9">
        <f t="shared" si="38"/>
        <v>0</v>
      </c>
      <c r="R46" s="9">
        <f t="shared" si="38"/>
        <v>0</v>
      </c>
      <c r="S46" s="9">
        <f t="shared" si="38"/>
        <v>0</v>
      </c>
      <c r="T46" s="9">
        <f t="shared" si="38"/>
        <v>0</v>
      </c>
      <c r="U46" s="9">
        <f t="shared" si="38"/>
        <v>0</v>
      </c>
      <c r="V46" s="9">
        <f t="shared" si="38"/>
        <v>0</v>
      </c>
      <c r="W46" s="9">
        <f t="shared" si="38"/>
        <v>0</v>
      </c>
      <c r="X46" s="9">
        <f t="shared" si="38"/>
        <v>0</v>
      </c>
      <c r="Y46" s="9">
        <f t="shared" si="38"/>
        <v>0</v>
      </c>
      <c r="Z46" s="9">
        <f t="shared" si="38"/>
        <v>0</v>
      </c>
      <c r="AA46" s="9">
        <f t="shared" si="38"/>
        <v>0</v>
      </c>
      <c r="AB46" s="9">
        <f t="shared" si="38"/>
        <v>0</v>
      </c>
      <c r="AC46" s="9">
        <f t="shared" si="38"/>
        <v>0</v>
      </c>
      <c r="AD46" s="9">
        <f t="shared" si="38"/>
        <v>0</v>
      </c>
      <c r="AE46" s="9">
        <f t="shared" si="38"/>
        <v>0</v>
      </c>
      <c r="AF46" s="9">
        <f t="shared" si="38"/>
        <v>0</v>
      </c>
      <c r="AG46" s="9">
        <f t="shared" si="38"/>
        <v>0</v>
      </c>
    </row>
    <row r="47" spans="2:33" x14ac:dyDescent="0.2">
      <c r="B47" s="6">
        <f>B39</f>
        <v>44295</v>
      </c>
      <c r="C47" s="236">
        <v>0</v>
      </c>
      <c r="D47" s="9">
        <f t="shared" ref="D47:AG47" si="39">IF(OR(D38=0,D38=""),0,D39/D38-1)</f>
        <v>9.2213114754098324E-3</v>
      </c>
      <c r="E47" s="9">
        <f t="shared" si="39"/>
        <v>1.5251006142766421E-2</v>
      </c>
      <c r="F47" s="9">
        <f t="shared" si="39"/>
        <v>9.1130012150666406E-3</v>
      </c>
      <c r="G47" s="9">
        <f t="shared" si="39"/>
        <v>2.3970920522644601E-2</v>
      </c>
      <c r="H47" s="9">
        <f t="shared" si="39"/>
        <v>0</v>
      </c>
      <c r="I47" s="9">
        <f t="shared" si="39"/>
        <v>0</v>
      </c>
      <c r="J47" s="9">
        <f t="shared" si="39"/>
        <v>0</v>
      </c>
      <c r="K47" s="9">
        <f t="shared" si="39"/>
        <v>0</v>
      </c>
      <c r="L47" s="9">
        <f t="shared" si="39"/>
        <v>0</v>
      </c>
      <c r="M47" s="9">
        <f t="shared" si="39"/>
        <v>0</v>
      </c>
      <c r="N47" s="9">
        <f t="shared" si="39"/>
        <v>0</v>
      </c>
      <c r="O47" s="9">
        <f t="shared" si="39"/>
        <v>0</v>
      </c>
      <c r="P47" s="9">
        <f t="shared" si="39"/>
        <v>0</v>
      </c>
      <c r="Q47" s="9">
        <f t="shared" si="39"/>
        <v>0</v>
      </c>
      <c r="R47" s="9">
        <f t="shared" si="39"/>
        <v>0</v>
      </c>
      <c r="S47" s="9">
        <f t="shared" si="39"/>
        <v>0</v>
      </c>
      <c r="T47" s="9">
        <f t="shared" si="39"/>
        <v>0</v>
      </c>
      <c r="U47" s="9">
        <f t="shared" si="39"/>
        <v>0</v>
      </c>
      <c r="V47" s="9">
        <f t="shared" si="39"/>
        <v>0</v>
      </c>
      <c r="W47" s="9">
        <f t="shared" si="39"/>
        <v>0</v>
      </c>
      <c r="X47" s="9">
        <f t="shared" si="39"/>
        <v>0</v>
      </c>
      <c r="Y47" s="9">
        <f t="shared" si="39"/>
        <v>0</v>
      </c>
      <c r="Z47" s="9">
        <f t="shared" si="39"/>
        <v>0</v>
      </c>
      <c r="AA47" s="9">
        <f t="shared" si="39"/>
        <v>0</v>
      </c>
      <c r="AB47" s="9">
        <f t="shared" si="39"/>
        <v>0</v>
      </c>
      <c r="AC47" s="9">
        <f t="shared" si="39"/>
        <v>0</v>
      </c>
      <c r="AD47" s="9">
        <f t="shared" si="39"/>
        <v>0</v>
      </c>
      <c r="AE47" s="9">
        <f t="shared" si="39"/>
        <v>0</v>
      </c>
      <c r="AF47" s="9">
        <f t="shared" si="39"/>
        <v>0</v>
      </c>
      <c r="AG47" s="9">
        <f t="shared" si="39"/>
        <v>0</v>
      </c>
    </row>
    <row r="50" spans="2:36" x14ac:dyDescent="0.2">
      <c r="B50" t="s">
        <v>160</v>
      </c>
      <c r="C50" s="33">
        <v>0</v>
      </c>
      <c r="D50" s="9">
        <f>_xlfn.STDEV.S(D43:D47)</f>
        <v>6.0302555278711973E-3</v>
      </c>
      <c r="E50" s="9">
        <f>_xlfn.STDEV.S(E43:E47)</f>
        <v>9.9811394643004037E-3</v>
      </c>
      <c r="F50" s="9">
        <f t="shared" ref="F50:AG50" si="40">_xlfn.STDEV.S(F43:F47)</f>
        <v>9.4569192877125476E-3</v>
      </c>
      <c r="G50" s="9">
        <f t="shared" si="40"/>
        <v>1.653119860429518E-2</v>
      </c>
      <c r="H50" s="9">
        <f t="shared" si="40"/>
        <v>0</v>
      </c>
      <c r="I50" s="9">
        <f t="shared" si="40"/>
        <v>0</v>
      </c>
      <c r="J50" s="9">
        <f t="shared" si="40"/>
        <v>0</v>
      </c>
      <c r="K50" s="9">
        <f t="shared" si="40"/>
        <v>0</v>
      </c>
      <c r="L50" s="9">
        <f t="shared" si="40"/>
        <v>0</v>
      </c>
      <c r="M50" s="9">
        <f t="shared" si="40"/>
        <v>0</v>
      </c>
      <c r="N50" s="9">
        <f t="shared" si="40"/>
        <v>0</v>
      </c>
      <c r="O50" s="9">
        <f t="shared" si="40"/>
        <v>0</v>
      </c>
      <c r="P50" s="9">
        <f t="shared" si="40"/>
        <v>0</v>
      </c>
      <c r="Q50" s="9">
        <f t="shared" si="40"/>
        <v>0</v>
      </c>
      <c r="R50" s="9">
        <f t="shared" si="40"/>
        <v>0</v>
      </c>
      <c r="S50" s="9">
        <f t="shared" si="40"/>
        <v>0</v>
      </c>
      <c r="T50" s="9">
        <f t="shared" si="40"/>
        <v>0</v>
      </c>
      <c r="U50" s="9">
        <f t="shared" si="40"/>
        <v>0</v>
      </c>
      <c r="V50" s="9">
        <f t="shared" si="40"/>
        <v>0</v>
      </c>
      <c r="W50" s="9">
        <f t="shared" si="40"/>
        <v>0</v>
      </c>
      <c r="X50" s="9">
        <f t="shared" si="40"/>
        <v>0</v>
      </c>
      <c r="Y50" s="9">
        <f t="shared" si="40"/>
        <v>0</v>
      </c>
      <c r="Z50" s="9">
        <f t="shared" si="40"/>
        <v>0</v>
      </c>
      <c r="AA50" s="9">
        <f t="shared" si="40"/>
        <v>0</v>
      </c>
      <c r="AB50" s="9">
        <f t="shared" si="40"/>
        <v>0</v>
      </c>
      <c r="AC50" s="9">
        <f t="shared" si="40"/>
        <v>0</v>
      </c>
      <c r="AD50" s="9">
        <f t="shared" si="40"/>
        <v>0</v>
      </c>
      <c r="AE50" s="9">
        <f t="shared" si="40"/>
        <v>0</v>
      </c>
      <c r="AF50" s="9">
        <f t="shared" si="40"/>
        <v>0</v>
      </c>
      <c r="AG50" s="9">
        <f t="shared" si="40"/>
        <v>0</v>
      </c>
    </row>
    <row r="52" spans="2:36" x14ac:dyDescent="0.2">
      <c r="B52" t="s">
        <v>328</v>
      </c>
      <c r="C52" t="str">
        <f>C42</f>
        <v>Cash</v>
      </c>
      <c r="D52" t="str">
        <f t="shared" ref="D52:AG52" si="41">D42</f>
        <v>BWX</v>
      </c>
      <c r="E52" t="str">
        <f t="shared" si="41"/>
        <v>EZU</v>
      </c>
      <c r="F52" t="str">
        <f t="shared" si="41"/>
        <v>IAU</v>
      </c>
      <c r="G52" t="str">
        <f t="shared" si="41"/>
        <v>VTI</v>
      </c>
      <c r="H52" t="str">
        <f t="shared" si="41"/>
        <v/>
      </c>
      <c r="I52" t="str">
        <f t="shared" si="41"/>
        <v/>
      </c>
      <c r="J52" t="str">
        <f t="shared" si="41"/>
        <v/>
      </c>
      <c r="K52" t="str">
        <f t="shared" si="41"/>
        <v/>
      </c>
      <c r="L52" t="str">
        <f t="shared" si="41"/>
        <v/>
      </c>
      <c r="M52" t="str">
        <f t="shared" si="41"/>
        <v/>
      </c>
      <c r="N52" t="str">
        <f t="shared" si="41"/>
        <v/>
      </c>
      <c r="O52" t="str">
        <f t="shared" si="41"/>
        <v/>
      </c>
      <c r="P52" t="str">
        <f t="shared" si="41"/>
        <v/>
      </c>
      <c r="Q52" t="str">
        <f t="shared" si="41"/>
        <v/>
      </c>
      <c r="R52" t="str">
        <f t="shared" si="41"/>
        <v/>
      </c>
      <c r="S52" t="str">
        <f t="shared" si="41"/>
        <v/>
      </c>
      <c r="T52" t="str">
        <f t="shared" si="41"/>
        <v/>
      </c>
      <c r="U52" t="str">
        <f t="shared" si="41"/>
        <v/>
      </c>
      <c r="V52" t="str">
        <f t="shared" si="41"/>
        <v/>
      </c>
      <c r="W52" t="str">
        <f t="shared" si="41"/>
        <v/>
      </c>
      <c r="X52" t="str">
        <f t="shared" si="41"/>
        <v/>
      </c>
      <c r="Y52" t="str">
        <f t="shared" si="41"/>
        <v/>
      </c>
      <c r="Z52" t="str">
        <f t="shared" si="41"/>
        <v/>
      </c>
      <c r="AA52" t="str">
        <f t="shared" si="41"/>
        <v/>
      </c>
      <c r="AB52" t="str">
        <f>AB42</f>
        <v/>
      </c>
      <c r="AC52" t="str">
        <f t="shared" si="41"/>
        <v/>
      </c>
      <c r="AD52" t="str">
        <f t="shared" si="41"/>
        <v/>
      </c>
      <c r="AE52" t="str">
        <f t="shared" si="41"/>
        <v/>
      </c>
      <c r="AF52" t="str">
        <f t="shared" si="41"/>
        <v/>
      </c>
      <c r="AG52" t="str">
        <f t="shared" si="41"/>
        <v/>
      </c>
      <c r="AI52" t="s">
        <v>432</v>
      </c>
      <c r="AJ52" t="s">
        <v>163</v>
      </c>
    </row>
    <row r="53" spans="2:36" x14ac:dyDescent="0.2">
      <c r="B53" s="6">
        <f t="array" ref="B53:B58">TRANSPOSE(Dates)</f>
        <v>44260</v>
      </c>
      <c r="C53" s="62">
        <f>'Weekly  Sum'!E8</f>
        <v>1000000</v>
      </c>
      <c r="D53" s="62">
        <f>IF(D$34="","",D34*INDEX('Portfolio Bucket'!$C$2:$I$69,MATCH(Calculations!D$33,'Portfolio Bucket'!$C$2:$C$69,0),MATCH(Calculations!$B53,'Portfolio Bucket'!$C$2:$I$2,0)))</f>
        <v>0</v>
      </c>
      <c r="E53" s="62">
        <f>IF(E$34="","",E34*INDEX('Portfolio Bucket'!$C$2:$I$69,MATCH(Calculations!E$33,'Portfolio Bucket'!$C$2:$C$69,0),MATCH(Calculations!$B53,'Portfolio Bucket'!$C$2:$I$2,0)))</f>
        <v>0</v>
      </c>
      <c r="F53" s="62">
        <f>IF(F$34="","",F34*INDEX('Portfolio Bucket'!$C$2:$I$69,MATCH(Calculations!F$33,'Portfolio Bucket'!$C$2:$C$69,0),MATCH(Calculations!$B53,'Portfolio Bucket'!$C$2:$I$2,0)))</f>
        <v>0</v>
      </c>
      <c r="G53" s="62">
        <f>IF(G$34="","",G34*INDEX('Portfolio Bucket'!$C$2:$I$69,MATCH(Calculations!G$33,'Portfolio Bucket'!$C$2:$C$69,0),MATCH(Calculations!$B53,'Portfolio Bucket'!$C$2:$I$2,0)))</f>
        <v>0</v>
      </c>
      <c r="H53" s="62" t="str">
        <f>IF(H$34="","",H34*INDEX('Portfolio Bucket'!$C$2:$I$69,MATCH(Calculations!H$33,'Portfolio Bucket'!$C$2:$C$69,0),MATCH(Calculations!$B53,'Portfolio Bucket'!$C$2:$I$2,0)))</f>
        <v/>
      </c>
      <c r="I53" s="62" t="str">
        <f>IF(I$34="","",I34*INDEX('Portfolio Bucket'!$C$2:$I$69,MATCH(Calculations!I$33,'Portfolio Bucket'!$C$2:$C$69,0),MATCH(Calculations!$B53,'Portfolio Bucket'!$C$2:$I$2,0)))</f>
        <v/>
      </c>
      <c r="J53" s="62" t="str">
        <f>IF(J$34="","",J34*INDEX('Portfolio Bucket'!$C$2:$I$69,MATCH(Calculations!J$33,'Portfolio Bucket'!$C$2:$C$69,0),MATCH(Calculations!$B53,'Portfolio Bucket'!$C$2:$I$2,0)))</f>
        <v/>
      </c>
      <c r="K53" s="62" t="str">
        <f>IF(K$34="","",K34*INDEX('Portfolio Bucket'!$C$2:$I$69,MATCH(Calculations!K$33,'Portfolio Bucket'!$C$2:$C$69,0),MATCH(Calculations!$B53,'Portfolio Bucket'!$C$2:$I$2,0)))</f>
        <v/>
      </c>
      <c r="L53" s="62" t="str">
        <f>IF(L$34="","",L34*INDEX('Portfolio Bucket'!$C$2:$I$69,MATCH(Calculations!L$33,'Portfolio Bucket'!$C$2:$C$69,0),MATCH(Calculations!$B53,'Portfolio Bucket'!$C$2:$I$2,0)))</f>
        <v/>
      </c>
      <c r="M53" s="62" t="str">
        <f>IF(M$34="","",M34*INDEX('Portfolio Bucket'!$C$2:$I$69,MATCH(Calculations!M$33,'Portfolio Bucket'!$C$2:$C$69,0),MATCH(Calculations!$B53,'Portfolio Bucket'!$C$2:$I$2,0)))</f>
        <v/>
      </c>
      <c r="N53" s="62" t="str">
        <f>IF(N$34="","",N34*INDEX('Portfolio Bucket'!$C$2:$I$69,MATCH(Calculations!N$33,'Portfolio Bucket'!$C$2:$C$69,0),MATCH(Calculations!$B53,'Portfolio Bucket'!$C$2:$I$2,0)))</f>
        <v/>
      </c>
      <c r="O53" s="62" t="str">
        <f>IF(O$34="","",O34*INDEX('Portfolio Bucket'!$C$2:$I$69,MATCH(Calculations!O$33,'Portfolio Bucket'!$C$2:$C$69,0),MATCH(Calculations!$B53,'Portfolio Bucket'!$C$2:$I$2,0)))</f>
        <v/>
      </c>
      <c r="P53" s="62" t="str">
        <f>IF(P$34="","",P34*INDEX('Portfolio Bucket'!$C$2:$I$69,MATCH(Calculations!P$33,'Portfolio Bucket'!$C$2:$C$69,0),MATCH(Calculations!$B53,'Portfolio Bucket'!$C$2:$I$2,0)))</f>
        <v/>
      </c>
      <c r="Q53" s="62" t="str">
        <f>IF(Q$34="","",Q34*INDEX('Portfolio Bucket'!$C$2:$I$69,MATCH(Calculations!Q$33,'Portfolio Bucket'!$C$2:$C$69,0),MATCH(Calculations!$B53,'Portfolio Bucket'!$C$2:$I$2,0)))</f>
        <v/>
      </c>
      <c r="R53" s="62" t="str">
        <f>IF(R$34="","",R34*INDEX('Portfolio Bucket'!$C$2:$I$69,MATCH(Calculations!R$33,'Portfolio Bucket'!$C$2:$C$69,0),MATCH(Calculations!$B53,'Portfolio Bucket'!$C$2:$I$2,0)))</f>
        <v/>
      </c>
      <c r="S53" s="62" t="str">
        <f>IF(S$34="","",S34*INDEX('Portfolio Bucket'!$C$2:$I$69,MATCH(Calculations!S$33,'Portfolio Bucket'!$C$2:$C$69,0),MATCH(Calculations!$B53,'Portfolio Bucket'!$C$2:$I$2,0)))</f>
        <v/>
      </c>
      <c r="T53" s="62" t="str">
        <f>IF(T$34="","",T34*INDEX('Portfolio Bucket'!$C$2:$I$69,MATCH(Calculations!T$33,'Portfolio Bucket'!$C$2:$C$69,0),MATCH(Calculations!$B53,'Portfolio Bucket'!$C$2:$I$2,0)))</f>
        <v/>
      </c>
      <c r="U53" s="62" t="str">
        <f>IF(U$34="","",U34*INDEX('Portfolio Bucket'!$C$2:$I$69,MATCH(Calculations!U$33,'Portfolio Bucket'!$C$2:$C$69,0),MATCH(Calculations!$B53,'Portfolio Bucket'!$C$2:$I$2,0)))</f>
        <v/>
      </c>
      <c r="V53" s="62" t="str">
        <f>IF(V$34="","",V34*INDEX('Portfolio Bucket'!$C$2:$I$69,MATCH(Calculations!V$33,'Portfolio Bucket'!$C$2:$C$69,0),MATCH(Calculations!$B53,'Portfolio Bucket'!$C$2:$I$2,0)))</f>
        <v/>
      </c>
      <c r="W53" s="62" t="str">
        <f>IF(W$34="","",W34*INDEX('Portfolio Bucket'!$C$2:$I$69,MATCH(Calculations!W$33,'Portfolio Bucket'!$C$2:$C$69,0),MATCH(Calculations!$B53,'Portfolio Bucket'!$C$2:$I$2,0)))</f>
        <v/>
      </c>
      <c r="X53" s="62" t="str">
        <f>IF(X$34="","",X34*INDEX('Portfolio Bucket'!$C$2:$I$69,MATCH(Calculations!X$33,'Portfolio Bucket'!$C$2:$C$69,0),MATCH(Calculations!$B53,'Portfolio Bucket'!$C$2:$I$2,0)))</f>
        <v/>
      </c>
      <c r="Y53" s="62" t="str">
        <f>IF(Y$34="","",Y34*INDEX('Portfolio Bucket'!$C$2:$I$69,MATCH(Calculations!Y$33,'Portfolio Bucket'!$C$2:$C$69,0),MATCH(Calculations!$B53,'Portfolio Bucket'!$C$2:$I$2,0)))</f>
        <v/>
      </c>
      <c r="Z53" s="62" t="str">
        <f>IF(Z$34="","",Z34*INDEX('Portfolio Bucket'!$C$2:$I$69,MATCH(Calculations!Z$33,'Portfolio Bucket'!$C$2:$C$69,0),MATCH(Calculations!$B53,'Portfolio Bucket'!$C$2:$I$2,0)))</f>
        <v/>
      </c>
      <c r="AA53" s="62" t="str">
        <f>IF(AA$34="","",AA34*INDEX('Portfolio Bucket'!$C$2:$I$69,MATCH(Calculations!AA$33,'Portfolio Bucket'!$C$2:$C$69,0),MATCH(Calculations!$B53,'Portfolio Bucket'!$C$2:$I$2,0)))</f>
        <v/>
      </c>
      <c r="AB53" s="62" t="str">
        <f>IF(AB$34="","",AB34*INDEX('Portfolio Bucket'!$C$2:$I$69,MATCH(Calculations!AB$33,'Portfolio Bucket'!$C$2:$C$69,0),MATCH(Calculations!$B53,'Portfolio Bucket'!$C$2:$I$2,0)))</f>
        <v/>
      </c>
      <c r="AC53" s="62" t="str">
        <f>IF(AC$34="","",AC34*INDEX('Portfolio Bucket'!$C$2:$I$69,MATCH(Calculations!AC$33,'Portfolio Bucket'!$C$2:$C$69,0),MATCH(Calculations!$B53,'Portfolio Bucket'!$C$2:$I$2,0)))</f>
        <v/>
      </c>
      <c r="AD53" s="62" t="str">
        <f>IF(AD$34="","",AD34*INDEX('Portfolio Bucket'!$C$2:$I$69,MATCH(Calculations!AD$33,'Portfolio Bucket'!$C$2:$C$69,0),MATCH(Calculations!$B53,'Portfolio Bucket'!$C$2:$I$2,0)))</f>
        <v/>
      </c>
      <c r="AE53" s="62" t="str">
        <f>IF(AE$34="","",AE34*INDEX('Portfolio Bucket'!$C$2:$I$69,MATCH(Calculations!AE$33,'Portfolio Bucket'!$C$2:$C$69,0),MATCH(Calculations!$B53,'Portfolio Bucket'!$C$2:$I$2,0)))</f>
        <v/>
      </c>
      <c r="AF53" s="62" t="str">
        <f>IF(AF$34="","",AF34*INDEX('Portfolio Bucket'!$C$2:$I$69,MATCH(Calculations!AF$33,'Portfolio Bucket'!$C$2:$C$69,0),MATCH(Calculations!$B53,'Portfolio Bucket'!$C$2:$I$2,0)))</f>
        <v/>
      </c>
      <c r="AG53" s="62" t="str">
        <f>IF(AG$34="","",AG34*INDEX('Portfolio Bucket'!$C$2:$I$69,MATCH(Calculations!AG$33,'Portfolio Bucket'!$C$2:$C$69,0),MATCH(Calculations!$B53,'Portfolio Bucket'!$C$2:$I$2,0)))</f>
        <v/>
      </c>
      <c r="AI53" s="411">
        <f>SUMIF(C53:AG53,"&gt;=0",C53:AG53)</f>
        <v>1000000</v>
      </c>
    </row>
    <row r="54" spans="2:36" x14ac:dyDescent="0.2">
      <c r="B54" s="6">
        <v>44267</v>
      </c>
      <c r="C54" s="62">
        <f>'Weekly  Sum'!I8</f>
        <v>10033.349999999977</v>
      </c>
      <c r="D54" s="62">
        <f>IF(D$34="","",D35*INDEX('Portfolio Bucket'!$C$2:$I$69,MATCH(Calculations!D$33,'Portfolio Bucket'!$C$2:$C$69,0),MATCH(Calculations!$B54,'Portfolio Bucket'!$C$2:$I$2,0)))</f>
        <v>300413.8</v>
      </c>
      <c r="E54" s="62">
        <f>IF(E$34="","",E35*INDEX('Portfolio Bucket'!$C$2:$I$69,MATCH(Calculations!E$33,'Portfolio Bucket'!$C$2:$C$69,0),MATCH(Calculations!$B54,'Portfolio Bucket'!$C$2:$I$2,0)))</f>
        <v>0</v>
      </c>
      <c r="F54" s="62">
        <f>IF(F$34="","",F35*INDEX('Portfolio Bucket'!$C$2:$I$69,MATCH(Calculations!F$33,'Portfolio Bucket'!$C$2:$C$69,0),MATCH(Calculations!$B54,'Portfolio Bucket'!$C$2:$I$2,0)))</f>
        <v>345470.16000000003</v>
      </c>
      <c r="G54" s="62">
        <f>IF(G$34="","",G35*INDEX('Portfolio Bucket'!$C$2:$I$69,MATCH(Calculations!G$33,'Portfolio Bucket'!$C$2:$C$69,0),MATCH(Calculations!$B54,'Portfolio Bucket'!$C$2:$I$2,0)))</f>
        <v>361453.04</v>
      </c>
      <c r="H54" s="62" t="str">
        <f>IF(H$34="","",H35*INDEX('Portfolio Bucket'!$C$2:$I$69,MATCH(Calculations!H$33,'Portfolio Bucket'!$C$2:$C$69,0),MATCH(Calculations!$B54,'Portfolio Bucket'!$C$2:$I$2,0)))</f>
        <v/>
      </c>
      <c r="I54" s="62" t="str">
        <f>IF(I$34="","",I35*INDEX('Portfolio Bucket'!$C$2:$I$69,MATCH(Calculations!I$33,'Portfolio Bucket'!$C$2:$C$69,0),MATCH(Calculations!$B54,'Portfolio Bucket'!$C$2:$I$2,0)))</f>
        <v/>
      </c>
      <c r="J54" s="62" t="str">
        <f>IF(J$34="","",J35*INDEX('Portfolio Bucket'!$C$2:$I$69,MATCH(Calculations!J$33,'Portfolio Bucket'!$C$2:$C$69,0),MATCH(Calculations!$B54,'Portfolio Bucket'!$C$2:$I$2,0)))</f>
        <v/>
      </c>
      <c r="K54" s="62" t="str">
        <f>IF(K$34="","",K35*INDEX('Portfolio Bucket'!$C$2:$I$69,MATCH(Calculations!K$33,'Portfolio Bucket'!$C$2:$C$69,0),MATCH(Calculations!$B54,'Portfolio Bucket'!$C$2:$I$2,0)))</f>
        <v/>
      </c>
      <c r="L54" s="62" t="str">
        <f>IF(L$34="","",L35*INDEX('Portfolio Bucket'!$C$2:$I$69,MATCH(Calculations!L$33,'Portfolio Bucket'!$C$2:$C$69,0),MATCH(Calculations!$B54,'Portfolio Bucket'!$C$2:$I$2,0)))</f>
        <v/>
      </c>
      <c r="M54" s="62" t="str">
        <f>IF(M$34="","",M35*INDEX('Portfolio Bucket'!$C$2:$I$69,MATCH(Calculations!M$33,'Portfolio Bucket'!$C$2:$C$69,0),MATCH(Calculations!$B54,'Portfolio Bucket'!$C$2:$I$2,0)))</f>
        <v/>
      </c>
      <c r="N54" s="62" t="str">
        <f>IF(N$34="","",N35*INDEX('Portfolio Bucket'!$C$2:$I$69,MATCH(Calculations!N$33,'Portfolio Bucket'!$C$2:$C$69,0),MATCH(Calculations!$B54,'Portfolio Bucket'!$C$2:$I$2,0)))</f>
        <v/>
      </c>
      <c r="O54" s="62" t="str">
        <f>IF(O$34="","",O35*INDEX('Portfolio Bucket'!$C$2:$I$69,MATCH(Calculations!O$33,'Portfolio Bucket'!$C$2:$C$69,0),MATCH(Calculations!$B54,'Portfolio Bucket'!$C$2:$I$2,0)))</f>
        <v/>
      </c>
      <c r="P54" s="62" t="str">
        <f>IF(P$34="","",P35*INDEX('Portfolio Bucket'!$C$2:$I$69,MATCH(Calculations!P$33,'Portfolio Bucket'!$C$2:$C$69,0),MATCH(Calculations!$B54,'Portfolio Bucket'!$C$2:$I$2,0)))</f>
        <v/>
      </c>
      <c r="Q54" s="62" t="str">
        <f>IF(Q$34="","",Q35*INDEX('Portfolio Bucket'!$C$2:$I$69,MATCH(Calculations!Q$33,'Portfolio Bucket'!$C$2:$C$69,0),MATCH(Calculations!$B54,'Portfolio Bucket'!$C$2:$I$2,0)))</f>
        <v/>
      </c>
      <c r="R54" s="62" t="str">
        <f>IF(R$34="","",R35*INDEX('Portfolio Bucket'!$C$2:$I$69,MATCH(Calculations!R$33,'Portfolio Bucket'!$C$2:$C$69,0),MATCH(Calculations!$B54,'Portfolio Bucket'!$C$2:$I$2,0)))</f>
        <v/>
      </c>
      <c r="S54" s="62" t="str">
        <f>IF(S$34="","",S35*INDEX('Portfolio Bucket'!$C$2:$I$69,MATCH(Calculations!S$33,'Portfolio Bucket'!$C$2:$C$69,0),MATCH(Calculations!$B54,'Portfolio Bucket'!$C$2:$I$2,0)))</f>
        <v/>
      </c>
      <c r="T54" s="62" t="str">
        <f>IF(T$34="","",T35*INDEX('Portfolio Bucket'!$C$2:$I$69,MATCH(Calculations!T$33,'Portfolio Bucket'!$C$2:$C$69,0),MATCH(Calculations!$B54,'Portfolio Bucket'!$C$2:$I$2,0)))</f>
        <v/>
      </c>
      <c r="U54" s="62" t="str">
        <f>IF(U$34="","",U35*INDEX('Portfolio Bucket'!$C$2:$I$69,MATCH(Calculations!U$33,'Portfolio Bucket'!$C$2:$C$69,0),MATCH(Calculations!$B54,'Portfolio Bucket'!$C$2:$I$2,0)))</f>
        <v/>
      </c>
      <c r="V54" s="62" t="str">
        <f>IF(V$34="","",V35*INDEX('Portfolio Bucket'!$C$2:$I$69,MATCH(Calculations!V$33,'Portfolio Bucket'!$C$2:$C$69,0),MATCH(Calculations!$B54,'Portfolio Bucket'!$C$2:$I$2,0)))</f>
        <v/>
      </c>
      <c r="W54" s="62" t="str">
        <f>IF(W$34="","",W35*INDEX('Portfolio Bucket'!$C$2:$I$69,MATCH(Calculations!W$33,'Portfolio Bucket'!$C$2:$C$69,0),MATCH(Calculations!$B54,'Portfolio Bucket'!$C$2:$I$2,0)))</f>
        <v/>
      </c>
      <c r="X54" s="62" t="str">
        <f>IF(X$34="","",X35*INDEX('Portfolio Bucket'!$C$2:$I$69,MATCH(Calculations!X$33,'Portfolio Bucket'!$C$2:$C$69,0),MATCH(Calculations!$B54,'Portfolio Bucket'!$C$2:$I$2,0)))</f>
        <v/>
      </c>
      <c r="Y54" s="62" t="str">
        <f>IF(Y$34="","",Y35*INDEX('Portfolio Bucket'!$C$2:$I$69,MATCH(Calculations!Y$33,'Portfolio Bucket'!$C$2:$C$69,0),MATCH(Calculations!$B54,'Portfolio Bucket'!$C$2:$I$2,0)))</f>
        <v/>
      </c>
      <c r="Z54" s="62" t="str">
        <f>IF(Z$34="","",Z35*INDEX('Portfolio Bucket'!$C$2:$I$69,MATCH(Calculations!Z$33,'Portfolio Bucket'!$C$2:$C$69,0),MATCH(Calculations!$B54,'Portfolio Bucket'!$C$2:$I$2,0)))</f>
        <v/>
      </c>
      <c r="AA54" s="62" t="str">
        <f>IF(AA$34="","",AA35*INDEX('Portfolio Bucket'!$C$2:$I$69,MATCH(Calculations!AA$33,'Portfolio Bucket'!$C$2:$C$69,0),MATCH(Calculations!$B54,'Portfolio Bucket'!$C$2:$I$2,0)))</f>
        <v/>
      </c>
      <c r="AB54" s="62" t="str">
        <f>IF(AB$34="","",AB35*INDEX('Portfolio Bucket'!$C$2:$I$69,MATCH(Calculations!AB$33,'Portfolio Bucket'!$C$2:$C$69,0),MATCH(Calculations!$B54,'Portfolio Bucket'!$C$2:$I$2,0)))</f>
        <v/>
      </c>
      <c r="AC54" s="62" t="str">
        <f>IF(AC$34="","",AC35*INDEX('Portfolio Bucket'!$C$2:$I$69,MATCH(Calculations!AC$33,'Portfolio Bucket'!$C$2:$C$69,0),MATCH(Calculations!$B54,'Portfolio Bucket'!$C$2:$I$2,0)))</f>
        <v/>
      </c>
      <c r="AD54" s="62" t="str">
        <f>IF(AD$34="","",AD35*INDEX('Portfolio Bucket'!$C$2:$I$69,MATCH(Calculations!AD$33,'Portfolio Bucket'!$C$2:$C$69,0),MATCH(Calculations!$B54,'Portfolio Bucket'!$C$2:$I$2,0)))</f>
        <v/>
      </c>
      <c r="AE54" s="62" t="str">
        <f>IF(AE$34="","",AE35*INDEX('Portfolio Bucket'!$C$2:$I$69,MATCH(Calculations!AE$33,'Portfolio Bucket'!$C$2:$C$69,0),MATCH(Calculations!$B54,'Portfolio Bucket'!$C$2:$I$2,0)))</f>
        <v/>
      </c>
      <c r="AF54" s="62" t="str">
        <f>IF(AF$34="","",AF35*INDEX('Portfolio Bucket'!$C$2:$I$69,MATCH(Calculations!AF$33,'Portfolio Bucket'!$C$2:$C$69,0),MATCH(Calculations!$B54,'Portfolio Bucket'!$C$2:$I$2,0)))</f>
        <v/>
      </c>
      <c r="AG54" s="62" t="str">
        <f>IF(AG$34="","",AG35*INDEX('Portfolio Bucket'!$C$2:$I$69,MATCH(Calculations!AG$33,'Portfolio Bucket'!$C$2:$C$69,0),MATCH(Calculations!$B54,'Portfolio Bucket'!$C$2:$I$2,0)))</f>
        <v/>
      </c>
      <c r="AI54" s="411">
        <f t="shared" ref="AI54:AI58" si="42">SUMIF(C54:AG54,"&gt;=0",C54:AG54)</f>
        <v>1017370.3500000001</v>
      </c>
      <c r="AJ54" s="8">
        <f>AI54/AI53-1</f>
        <v>1.7370350000000201E-2</v>
      </c>
    </row>
    <row r="55" spans="2:36" x14ac:dyDescent="0.2">
      <c r="B55" s="6">
        <v>44274</v>
      </c>
      <c r="C55" s="62">
        <f>'Weekly  Sum'!M8</f>
        <v>10025.549999999988</v>
      </c>
      <c r="D55" s="62">
        <f>IF(D$34="","",D36*INDEX('Portfolio Bucket'!$C$2:$I$69,MATCH(Calculations!D$33,'Portfolio Bucket'!$C$2:$C$69,0),MATCH(Calculations!$B55,'Portfolio Bucket'!$C$2:$I$2,0)))</f>
        <v>299704.56</v>
      </c>
      <c r="E55" s="62">
        <f>IF(E$34="","",E36*INDEX('Portfolio Bucket'!$C$2:$I$69,MATCH(Calculations!E$33,'Portfolio Bucket'!$C$2:$C$69,0),MATCH(Calculations!$B55,'Portfolio Bucket'!$C$2:$I$2,0)))</f>
        <v>195472.2</v>
      </c>
      <c r="F55" s="62">
        <f>IF(F$34="","",F36*INDEX('Portfolio Bucket'!$C$2:$I$69,MATCH(Calculations!F$33,'Portfolio Bucket'!$C$2:$C$69,0),MATCH(Calculations!$B55,'Portfolio Bucket'!$C$2:$I$2,0)))</f>
        <v>349042.54</v>
      </c>
      <c r="G55" s="62">
        <f>IF(G$34="","",G36*INDEX('Portfolio Bucket'!$C$2:$I$69,MATCH(Calculations!G$33,'Portfolio Bucket'!$C$2:$C$69,0),MATCH(Calculations!$B55,'Portfolio Bucket'!$C$2:$I$2,0)))</f>
        <v>163104.03999999998</v>
      </c>
      <c r="H55" s="62" t="str">
        <f>IF(H$34="","",H36*INDEX('Portfolio Bucket'!$C$2:$I$69,MATCH(Calculations!H$33,'Portfolio Bucket'!$C$2:$C$69,0),MATCH(Calculations!$B55,'Portfolio Bucket'!$C$2:$I$2,0)))</f>
        <v/>
      </c>
      <c r="I55" s="62" t="str">
        <f>IF(I$34="","",I36*INDEX('Portfolio Bucket'!$C$2:$I$69,MATCH(Calculations!I$33,'Portfolio Bucket'!$C$2:$C$69,0),MATCH(Calculations!$B55,'Portfolio Bucket'!$C$2:$I$2,0)))</f>
        <v/>
      </c>
      <c r="J55" s="62" t="str">
        <f>IF(J$34="","",J36*INDEX('Portfolio Bucket'!$C$2:$I$69,MATCH(Calculations!J$33,'Portfolio Bucket'!$C$2:$C$69,0),MATCH(Calculations!$B55,'Portfolio Bucket'!$C$2:$I$2,0)))</f>
        <v/>
      </c>
      <c r="K55" s="62" t="str">
        <f>IF(K$34="","",K36*INDEX('Portfolio Bucket'!$C$2:$I$69,MATCH(Calculations!K$33,'Portfolio Bucket'!$C$2:$C$69,0),MATCH(Calculations!$B55,'Portfolio Bucket'!$C$2:$I$2,0)))</f>
        <v/>
      </c>
      <c r="L55" s="62" t="str">
        <f>IF(L$34="","",L36*INDEX('Portfolio Bucket'!$C$2:$I$69,MATCH(Calculations!L$33,'Portfolio Bucket'!$C$2:$C$69,0),MATCH(Calculations!$B55,'Portfolio Bucket'!$C$2:$I$2,0)))</f>
        <v/>
      </c>
      <c r="M55" s="62" t="str">
        <f>IF(M$34="","",M36*INDEX('Portfolio Bucket'!$C$2:$I$69,MATCH(Calculations!M$33,'Portfolio Bucket'!$C$2:$C$69,0),MATCH(Calculations!$B55,'Portfolio Bucket'!$C$2:$I$2,0)))</f>
        <v/>
      </c>
      <c r="N55" s="62" t="str">
        <f>IF(N$34="","",N36*INDEX('Portfolio Bucket'!$C$2:$I$69,MATCH(Calculations!N$33,'Portfolio Bucket'!$C$2:$C$69,0),MATCH(Calculations!$B55,'Portfolio Bucket'!$C$2:$I$2,0)))</f>
        <v/>
      </c>
      <c r="O55" s="62" t="str">
        <f>IF(O$34="","",O36*INDEX('Portfolio Bucket'!$C$2:$I$69,MATCH(Calculations!O$33,'Portfolio Bucket'!$C$2:$C$69,0),MATCH(Calculations!$B55,'Portfolio Bucket'!$C$2:$I$2,0)))</f>
        <v/>
      </c>
      <c r="P55" s="62" t="str">
        <f>IF(P$34="","",P36*INDEX('Portfolio Bucket'!$C$2:$I$69,MATCH(Calculations!P$33,'Portfolio Bucket'!$C$2:$C$69,0),MATCH(Calculations!$B55,'Portfolio Bucket'!$C$2:$I$2,0)))</f>
        <v/>
      </c>
      <c r="Q55" s="62" t="str">
        <f>IF(Q$34="","",Q36*INDEX('Portfolio Bucket'!$C$2:$I$69,MATCH(Calculations!Q$33,'Portfolio Bucket'!$C$2:$C$69,0),MATCH(Calculations!$B55,'Portfolio Bucket'!$C$2:$I$2,0)))</f>
        <v/>
      </c>
      <c r="R55" s="62" t="str">
        <f>IF(R$34="","",R36*INDEX('Portfolio Bucket'!$C$2:$I$69,MATCH(Calculations!R$33,'Portfolio Bucket'!$C$2:$C$69,0),MATCH(Calculations!$B55,'Portfolio Bucket'!$C$2:$I$2,0)))</f>
        <v/>
      </c>
      <c r="S55" s="62" t="str">
        <f>IF(S$34="","",S36*INDEX('Portfolio Bucket'!$C$2:$I$69,MATCH(Calculations!S$33,'Portfolio Bucket'!$C$2:$C$69,0),MATCH(Calculations!$B55,'Portfolio Bucket'!$C$2:$I$2,0)))</f>
        <v/>
      </c>
      <c r="T55" s="62" t="str">
        <f>IF(T$34="","",T36*INDEX('Portfolio Bucket'!$C$2:$I$69,MATCH(Calculations!T$33,'Portfolio Bucket'!$C$2:$C$69,0),MATCH(Calculations!$B55,'Portfolio Bucket'!$C$2:$I$2,0)))</f>
        <v/>
      </c>
      <c r="U55" s="62" t="str">
        <f>IF(U$34="","",U36*INDEX('Portfolio Bucket'!$C$2:$I$69,MATCH(Calculations!U$33,'Portfolio Bucket'!$C$2:$C$69,0),MATCH(Calculations!$B55,'Portfolio Bucket'!$C$2:$I$2,0)))</f>
        <v/>
      </c>
      <c r="V55" s="62" t="str">
        <f>IF(V$34="","",V36*INDEX('Portfolio Bucket'!$C$2:$I$69,MATCH(Calculations!V$33,'Portfolio Bucket'!$C$2:$C$69,0),MATCH(Calculations!$B55,'Portfolio Bucket'!$C$2:$I$2,0)))</f>
        <v/>
      </c>
      <c r="W55" s="62" t="str">
        <f>IF(W$34="","",W36*INDEX('Portfolio Bucket'!$C$2:$I$69,MATCH(Calculations!W$33,'Portfolio Bucket'!$C$2:$C$69,0),MATCH(Calculations!$B55,'Portfolio Bucket'!$C$2:$I$2,0)))</f>
        <v/>
      </c>
      <c r="X55" s="62" t="str">
        <f>IF(X$34="","",X36*INDEX('Portfolio Bucket'!$C$2:$I$69,MATCH(Calculations!X$33,'Portfolio Bucket'!$C$2:$C$69,0),MATCH(Calculations!$B55,'Portfolio Bucket'!$C$2:$I$2,0)))</f>
        <v/>
      </c>
      <c r="Y55" s="62" t="str">
        <f>IF(Y$34="","",Y36*INDEX('Portfolio Bucket'!$C$2:$I$69,MATCH(Calculations!Y$33,'Portfolio Bucket'!$C$2:$C$69,0),MATCH(Calculations!$B55,'Portfolio Bucket'!$C$2:$I$2,0)))</f>
        <v/>
      </c>
      <c r="Z55" s="62" t="str">
        <f>IF(Z$34="","",Z36*INDEX('Portfolio Bucket'!$C$2:$I$69,MATCH(Calculations!Z$33,'Portfolio Bucket'!$C$2:$C$69,0),MATCH(Calculations!$B55,'Portfolio Bucket'!$C$2:$I$2,0)))</f>
        <v/>
      </c>
      <c r="AA55" s="62" t="str">
        <f>IF(AA$34="","",AA36*INDEX('Portfolio Bucket'!$C$2:$I$69,MATCH(Calculations!AA$33,'Portfolio Bucket'!$C$2:$C$69,0),MATCH(Calculations!$B55,'Portfolio Bucket'!$C$2:$I$2,0)))</f>
        <v/>
      </c>
      <c r="AB55" s="62" t="str">
        <f>IF(AB$34="","",AB36*INDEX('Portfolio Bucket'!$C$2:$I$69,MATCH(Calculations!AB$33,'Portfolio Bucket'!$C$2:$C$69,0),MATCH(Calculations!$B55,'Portfolio Bucket'!$C$2:$I$2,0)))</f>
        <v/>
      </c>
      <c r="AC55" s="62" t="str">
        <f>IF(AC$34="","",AC36*INDEX('Portfolio Bucket'!$C$2:$I$69,MATCH(Calculations!AC$33,'Portfolio Bucket'!$C$2:$C$69,0),MATCH(Calculations!$B55,'Portfolio Bucket'!$C$2:$I$2,0)))</f>
        <v/>
      </c>
      <c r="AD55" s="62" t="str">
        <f>IF(AD$34="","",AD36*INDEX('Portfolio Bucket'!$C$2:$I$69,MATCH(Calculations!AD$33,'Portfolio Bucket'!$C$2:$C$69,0),MATCH(Calculations!$B55,'Portfolio Bucket'!$C$2:$I$2,0)))</f>
        <v/>
      </c>
      <c r="AE55" s="62" t="str">
        <f>IF(AE$34="","",AE36*INDEX('Portfolio Bucket'!$C$2:$I$69,MATCH(Calculations!AE$33,'Portfolio Bucket'!$C$2:$C$69,0),MATCH(Calculations!$B55,'Portfolio Bucket'!$C$2:$I$2,0)))</f>
        <v/>
      </c>
      <c r="AF55" s="62" t="str">
        <f>IF(AF$34="","",AF36*INDEX('Portfolio Bucket'!$C$2:$I$69,MATCH(Calculations!AF$33,'Portfolio Bucket'!$C$2:$C$69,0),MATCH(Calculations!$B55,'Portfolio Bucket'!$C$2:$I$2,0)))</f>
        <v/>
      </c>
      <c r="AG55" s="62" t="str">
        <f>IF(AG$34="","",AG36*INDEX('Portfolio Bucket'!$C$2:$I$69,MATCH(Calculations!AG$33,'Portfolio Bucket'!$C$2:$C$69,0),MATCH(Calculations!$B55,'Portfolio Bucket'!$C$2:$I$2,0)))</f>
        <v/>
      </c>
      <c r="AI55" s="411">
        <f t="shared" si="42"/>
        <v>1017348.8899999999</v>
      </c>
      <c r="AJ55" s="8">
        <f t="shared" ref="AJ55:AJ58" si="43">AI55/AI54-1</f>
        <v>-2.1093596840326967E-5</v>
      </c>
    </row>
    <row r="56" spans="2:36" x14ac:dyDescent="0.2">
      <c r="B56" s="6">
        <v>44281</v>
      </c>
      <c r="C56" s="62">
        <f>'Weekly  Sum'!Q8</f>
        <v>10025.549999999988</v>
      </c>
      <c r="D56" s="62">
        <f>IF(D$34="","",D37*INDEX('Portfolio Bucket'!$C$2:$I$69,MATCH(Calculations!D$33,'Portfolio Bucket'!$C$2:$C$69,0),MATCH(Calculations!$B56,'Portfolio Bucket'!$C$2:$I$2,0)))</f>
        <v>298488.72000000003</v>
      </c>
      <c r="E56" s="62">
        <f>IF(E$34="","",E37*INDEX('Portfolio Bucket'!$C$2:$I$69,MATCH(Calculations!E$33,'Portfolio Bucket'!$C$2:$C$69,0),MATCH(Calculations!$B56,'Portfolio Bucket'!$C$2:$I$2,0)))</f>
        <v>196656.87999999998</v>
      </c>
      <c r="F56" s="62">
        <f>IF(F$34="","",F37*INDEX('Portfolio Bucket'!$C$2:$I$69,MATCH(Calculations!F$33,'Portfolio Bucket'!$C$2:$C$69,0),MATCH(Calculations!$B56,'Portfolio Bucket'!$C$2:$I$2,0)))</f>
        <v>346731</v>
      </c>
      <c r="G56" s="62">
        <f>IF(G$34="","",G37*INDEX('Portfolio Bucket'!$C$2:$I$69,MATCH(Calculations!G$33,'Portfolio Bucket'!$C$2:$C$69,0),MATCH(Calculations!$B56,'Portfolio Bucket'!$C$2:$I$2,0)))</f>
        <v>164034.85</v>
      </c>
      <c r="H56" s="62" t="str">
        <f>IF(H$34="","",H37*INDEX('Portfolio Bucket'!$C$2:$I$69,MATCH(Calculations!H$33,'Portfolio Bucket'!$C$2:$C$69,0),MATCH(Calculations!$B56,'Portfolio Bucket'!$C$2:$I$2,0)))</f>
        <v/>
      </c>
      <c r="I56" s="62" t="str">
        <f>IF(I$34="","",I37*INDEX('Portfolio Bucket'!$C$2:$I$69,MATCH(Calculations!I$33,'Portfolio Bucket'!$C$2:$C$69,0),MATCH(Calculations!$B56,'Portfolio Bucket'!$C$2:$I$2,0)))</f>
        <v/>
      </c>
      <c r="J56" s="62" t="str">
        <f>IF(J$34="","",J37*INDEX('Portfolio Bucket'!$C$2:$I$69,MATCH(Calculations!J$33,'Portfolio Bucket'!$C$2:$C$69,0),MATCH(Calculations!$B56,'Portfolio Bucket'!$C$2:$I$2,0)))</f>
        <v/>
      </c>
      <c r="K56" s="62" t="str">
        <f>IF(K$34="","",K37*INDEX('Portfolio Bucket'!$C$2:$I$69,MATCH(Calculations!K$33,'Portfolio Bucket'!$C$2:$C$69,0),MATCH(Calculations!$B56,'Portfolio Bucket'!$C$2:$I$2,0)))</f>
        <v/>
      </c>
      <c r="L56" s="62" t="str">
        <f>IF(L$34="","",L37*INDEX('Portfolio Bucket'!$C$2:$I$69,MATCH(Calculations!L$33,'Portfolio Bucket'!$C$2:$C$69,0),MATCH(Calculations!$B56,'Portfolio Bucket'!$C$2:$I$2,0)))</f>
        <v/>
      </c>
      <c r="M56" s="62" t="str">
        <f>IF(M$34="","",M37*INDEX('Portfolio Bucket'!$C$2:$I$69,MATCH(Calculations!M$33,'Portfolio Bucket'!$C$2:$C$69,0),MATCH(Calculations!$B56,'Portfolio Bucket'!$C$2:$I$2,0)))</f>
        <v/>
      </c>
      <c r="N56" s="62" t="str">
        <f>IF(N$34="","",N37*INDEX('Portfolio Bucket'!$C$2:$I$69,MATCH(Calculations!N$33,'Portfolio Bucket'!$C$2:$C$69,0),MATCH(Calculations!$B56,'Portfolio Bucket'!$C$2:$I$2,0)))</f>
        <v/>
      </c>
      <c r="O56" s="62" t="str">
        <f>IF(O$34="","",O37*INDEX('Portfolio Bucket'!$C$2:$I$69,MATCH(Calculations!O$33,'Portfolio Bucket'!$C$2:$C$69,0),MATCH(Calculations!$B56,'Portfolio Bucket'!$C$2:$I$2,0)))</f>
        <v/>
      </c>
      <c r="P56" s="62" t="str">
        <f>IF(P$34="","",P37*INDEX('Portfolio Bucket'!$C$2:$I$69,MATCH(Calculations!P$33,'Portfolio Bucket'!$C$2:$C$69,0),MATCH(Calculations!$B56,'Portfolio Bucket'!$C$2:$I$2,0)))</f>
        <v/>
      </c>
      <c r="Q56" s="62" t="str">
        <f>IF(Q$34="","",Q37*INDEX('Portfolio Bucket'!$C$2:$I$69,MATCH(Calculations!Q$33,'Portfolio Bucket'!$C$2:$C$69,0),MATCH(Calculations!$B56,'Portfolio Bucket'!$C$2:$I$2,0)))</f>
        <v/>
      </c>
      <c r="R56" s="62" t="str">
        <f>IF(R$34="","",R37*INDEX('Portfolio Bucket'!$C$2:$I$69,MATCH(Calculations!R$33,'Portfolio Bucket'!$C$2:$C$69,0),MATCH(Calculations!$B56,'Portfolio Bucket'!$C$2:$I$2,0)))</f>
        <v/>
      </c>
      <c r="S56" s="62" t="str">
        <f>IF(S$34="","",S37*INDEX('Portfolio Bucket'!$C$2:$I$69,MATCH(Calculations!S$33,'Portfolio Bucket'!$C$2:$C$69,0),MATCH(Calculations!$B56,'Portfolio Bucket'!$C$2:$I$2,0)))</f>
        <v/>
      </c>
      <c r="T56" s="62" t="str">
        <f>IF(T$34="","",T37*INDEX('Portfolio Bucket'!$C$2:$I$69,MATCH(Calculations!T$33,'Portfolio Bucket'!$C$2:$C$69,0),MATCH(Calculations!$B56,'Portfolio Bucket'!$C$2:$I$2,0)))</f>
        <v/>
      </c>
      <c r="U56" s="62" t="str">
        <f>IF(U$34="","",U37*INDEX('Portfolio Bucket'!$C$2:$I$69,MATCH(Calculations!U$33,'Portfolio Bucket'!$C$2:$C$69,0),MATCH(Calculations!$B56,'Portfolio Bucket'!$C$2:$I$2,0)))</f>
        <v/>
      </c>
      <c r="V56" s="62" t="str">
        <f>IF(V$34="","",V37*INDEX('Portfolio Bucket'!$C$2:$I$69,MATCH(Calculations!V$33,'Portfolio Bucket'!$C$2:$C$69,0),MATCH(Calculations!$B56,'Portfolio Bucket'!$C$2:$I$2,0)))</f>
        <v/>
      </c>
      <c r="W56" s="62" t="str">
        <f>IF(W$34="","",W37*INDEX('Portfolio Bucket'!$C$2:$I$69,MATCH(Calculations!W$33,'Portfolio Bucket'!$C$2:$C$69,0),MATCH(Calculations!$B56,'Portfolio Bucket'!$C$2:$I$2,0)))</f>
        <v/>
      </c>
      <c r="X56" s="62" t="str">
        <f>IF(X$34="","",X37*INDEX('Portfolio Bucket'!$C$2:$I$69,MATCH(Calculations!X$33,'Portfolio Bucket'!$C$2:$C$69,0),MATCH(Calculations!$B56,'Portfolio Bucket'!$C$2:$I$2,0)))</f>
        <v/>
      </c>
      <c r="Y56" s="62" t="str">
        <f>IF(Y$34="","",Y37*INDEX('Portfolio Bucket'!$C$2:$I$69,MATCH(Calculations!Y$33,'Portfolio Bucket'!$C$2:$C$69,0),MATCH(Calculations!$B56,'Portfolio Bucket'!$C$2:$I$2,0)))</f>
        <v/>
      </c>
      <c r="Z56" s="62" t="str">
        <f>IF(Z$34="","",Z37*INDEX('Portfolio Bucket'!$C$2:$I$69,MATCH(Calculations!Z$33,'Portfolio Bucket'!$C$2:$C$69,0),MATCH(Calculations!$B56,'Portfolio Bucket'!$C$2:$I$2,0)))</f>
        <v/>
      </c>
      <c r="AA56" s="62" t="str">
        <f>IF(AA$34="","",AA37*INDEX('Portfolio Bucket'!$C$2:$I$69,MATCH(Calculations!AA$33,'Portfolio Bucket'!$C$2:$C$69,0),MATCH(Calculations!$B56,'Portfolio Bucket'!$C$2:$I$2,0)))</f>
        <v/>
      </c>
      <c r="AB56" s="62" t="str">
        <f>IF(AB$34="","",AB37*INDEX('Portfolio Bucket'!$C$2:$I$69,MATCH(Calculations!AB$33,'Portfolio Bucket'!$C$2:$C$69,0),MATCH(Calculations!$B56,'Portfolio Bucket'!$C$2:$I$2,0)))</f>
        <v/>
      </c>
      <c r="AC56" s="62" t="str">
        <f>IF(AC$34="","",AC37*INDEX('Portfolio Bucket'!$C$2:$I$69,MATCH(Calculations!AC$33,'Portfolio Bucket'!$C$2:$C$69,0),MATCH(Calculations!$B56,'Portfolio Bucket'!$C$2:$I$2,0)))</f>
        <v/>
      </c>
      <c r="AD56" s="62" t="str">
        <f>IF(AD$34="","",AD37*INDEX('Portfolio Bucket'!$C$2:$I$69,MATCH(Calculations!AD$33,'Portfolio Bucket'!$C$2:$C$69,0),MATCH(Calculations!$B56,'Portfolio Bucket'!$C$2:$I$2,0)))</f>
        <v/>
      </c>
      <c r="AE56" s="62" t="str">
        <f>IF(AE$34="","",AE37*INDEX('Portfolio Bucket'!$C$2:$I$69,MATCH(Calculations!AE$33,'Portfolio Bucket'!$C$2:$C$69,0),MATCH(Calculations!$B56,'Portfolio Bucket'!$C$2:$I$2,0)))</f>
        <v/>
      </c>
      <c r="AF56" s="62" t="str">
        <f>IF(AF$34="","",AF37*INDEX('Portfolio Bucket'!$C$2:$I$69,MATCH(Calculations!AF$33,'Portfolio Bucket'!$C$2:$C$69,0),MATCH(Calculations!$B56,'Portfolio Bucket'!$C$2:$I$2,0)))</f>
        <v/>
      </c>
      <c r="AG56" s="62" t="str">
        <f>IF(AG$34="","",AG37*INDEX('Portfolio Bucket'!$C$2:$I$69,MATCH(Calculations!AG$33,'Portfolio Bucket'!$C$2:$C$69,0),MATCH(Calculations!$B56,'Portfolio Bucket'!$C$2:$I$2,0)))</f>
        <v/>
      </c>
      <c r="AI56" s="411">
        <f t="shared" si="42"/>
        <v>1015937</v>
      </c>
      <c r="AJ56" s="8">
        <f t="shared" si="43"/>
        <v>-1.3878129851794263E-3</v>
      </c>
    </row>
    <row r="57" spans="2:36" x14ac:dyDescent="0.2">
      <c r="B57" s="6">
        <v>44288</v>
      </c>
      <c r="C57" s="62">
        <f>'Weekly  Sum'!U8</f>
        <v>10025.549999999988</v>
      </c>
      <c r="D57" s="62">
        <f>IF(D$34="","",D38*INDEX('Portfolio Bucket'!$C$2:$I$69,MATCH(Calculations!D$33,'Portfolio Bucket'!$C$2:$C$69,0),MATCH(Calculations!$B57,'Portfolio Bucket'!$C$2:$I$2,0)))</f>
        <v>296664.96000000002</v>
      </c>
      <c r="E57" s="62">
        <f>IF(E$34="","",E38*INDEX('Portfolio Bucket'!$C$2:$I$69,MATCH(Calculations!E$33,'Portfolio Bucket'!$C$2:$C$69,0),MATCH(Calculations!$B57,'Portfolio Bucket'!$C$2:$I$2,0)))</f>
        <v>199745.51</v>
      </c>
      <c r="F57" s="62">
        <f>IF(F$34="","",F38*INDEX('Portfolio Bucket'!$C$2:$I$69,MATCH(Calculations!F$33,'Portfolio Bucket'!$C$2:$C$69,0),MATCH(Calculations!$B57,'Portfolio Bucket'!$C$2:$I$2,0)))</f>
        <v>345890.44</v>
      </c>
      <c r="G57" s="62">
        <f>IF(G$34="","",G38*INDEX('Portfolio Bucket'!$C$2:$I$69,MATCH(Calculations!G$33,'Portfolio Bucket'!$C$2:$C$69,0),MATCH(Calculations!$B57,'Portfolio Bucket'!$C$2:$I$2,0)))</f>
        <v>166223.07</v>
      </c>
      <c r="H57" s="62" t="str">
        <f>IF(H$34="","",H38*INDEX('Portfolio Bucket'!$C$2:$I$69,MATCH(Calculations!H$33,'Portfolio Bucket'!$C$2:$C$69,0),MATCH(Calculations!$B57,'Portfolio Bucket'!$C$2:$I$2,0)))</f>
        <v/>
      </c>
      <c r="I57" s="62" t="str">
        <f>IF(I$34="","",I38*INDEX('Portfolio Bucket'!$C$2:$I$69,MATCH(Calculations!I$33,'Portfolio Bucket'!$C$2:$C$69,0),MATCH(Calculations!$B57,'Portfolio Bucket'!$C$2:$I$2,0)))</f>
        <v/>
      </c>
      <c r="J57" s="62" t="str">
        <f>IF(J$34="","",J38*INDEX('Portfolio Bucket'!$C$2:$I$69,MATCH(Calculations!J$33,'Portfolio Bucket'!$C$2:$C$69,0),MATCH(Calculations!$B57,'Portfolio Bucket'!$C$2:$I$2,0)))</f>
        <v/>
      </c>
      <c r="K57" s="62" t="str">
        <f>IF(K$34="","",K38*INDEX('Portfolio Bucket'!$C$2:$I$69,MATCH(Calculations!K$33,'Portfolio Bucket'!$C$2:$C$69,0),MATCH(Calculations!$B57,'Portfolio Bucket'!$C$2:$I$2,0)))</f>
        <v/>
      </c>
      <c r="L57" s="62" t="str">
        <f>IF(L$34="","",L38*INDEX('Portfolio Bucket'!$C$2:$I$69,MATCH(Calculations!L$33,'Portfolio Bucket'!$C$2:$C$69,0),MATCH(Calculations!$B57,'Portfolio Bucket'!$C$2:$I$2,0)))</f>
        <v/>
      </c>
      <c r="M57" s="62" t="str">
        <f>IF(M$34="","",M38*INDEX('Portfolio Bucket'!$C$2:$I$69,MATCH(Calculations!M$33,'Portfolio Bucket'!$C$2:$C$69,0),MATCH(Calculations!$B57,'Portfolio Bucket'!$C$2:$I$2,0)))</f>
        <v/>
      </c>
      <c r="N57" s="62" t="str">
        <f>IF(N$34="","",N38*INDEX('Portfolio Bucket'!$C$2:$I$69,MATCH(Calculations!N$33,'Portfolio Bucket'!$C$2:$C$69,0),MATCH(Calculations!$B57,'Portfolio Bucket'!$C$2:$I$2,0)))</f>
        <v/>
      </c>
      <c r="O57" s="62" t="str">
        <f>IF(O$34="","",O38*INDEX('Portfolio Bucket'!$C$2:$I$69,MATCH(Calculations!O$33,'Portfolio Bucket'!$C$2:$C$69,0),MATCH(Calculations!$B57,'Portfolio Bucket'!$C$2:$I$2,0)))</f>
        <v/>
      </c>
      <c r="P57" s="62" t="str">
        <f>IF(P$34="","",P38*INDEX('Portfolio Bucket'!$C$2:$I$69,MATCH(Calculations!P$33,'Portfolio Bucket'!$C$2:$C$69,0),MATCH(Calculations!$B57,'Portfolio Bucket'!$C$2:$I$2,0)))</f>
        <v/>
      </c>
      <c r="Q57" s="62" t="str">
        <f>IF(Q$34="","",Q38*INDEX('Portfolio Bucket'!$C$2:$I$69,MATCH(Calculations!Q$33,'Portfolio Bucket'!$C$2:$C$69,0),MATCH(Calculations!$B57,'Portfolio Bucket'!$C$2:$I$2,0)))</f>
        <v/>
      </c>
      <c r="R57" s="62" t="str">
        <f>IF(R$34="","",R38*INDEX('Portfolio Bucket'!$C$2:$I$69,MATCH(Calculations!R$33,'Portfolio Bucket'!$C$2:$C$69,0),MATCH(Calculations!$B57,'Portfolio Bucket'!$C$2:$I$2,0)))</f>
        <v/>
      </c>
      <c r="S57" s="62" t="str">
        <f>IF(S$34="","",S38*INDEX('Portfolio Bucket'!$C$2:$I$69,MATCH(Calculations!S$33,'Portfolio Bucket'!$C$2:$C$69,0),MATCH(Calculations!$B57,'Portfolio Bucket'!$C$2:$I$2,0)))</f>
        <v/>
      </c>
      <c r="T57" s="62" t="str">
        <f>IF(T$34="","",T38*INDEX('Portfolio Bucket'!$C$2:$I$69,MATCH(Calculations!T$33,'Portfolio Bucket'!$C$2:$C$69,0),MATCH(Calculations!$B57,'Portfolio Bucket'!$C$2:$I$2,0)))</f>
        <v/>
      </c>
      <c r="U57" s="62" t="str">
        <f>IF(U$34="","",U38*INDEX('Portfolio Bucket'!$C$2:$I$69,MATCH(Calculations!U$33,'Portfolio Bucket'!$C$2:$C$69,0),MATCH(Calculations!$B57,'Portfolio Bucket'!$C$2:$I$2,0)))</f>
        <v/>
      </c>
      <c r="V57" s="62" t="str">
        <f>IF(V$34="","",V38*INDEX('Portfolio Bucket'!$C$2:$I$69,MATCH(Calculations!V$33,'Portfolio Bucket'!$C$2:$C$69,0),MATCH(Calculations!$B57,'Portfolio Bucket'!$C$2:$I$2,0)))</f>
        <v/>
      </c>
      <c r="W57" s="62" t="str">
        <f>IF(W$34="","",W38*INDEX('Portfolio Bucket'!$C$2:$I$69,MATCH(Calculations!W$33,'Portfolio Bucket'!$C$2:$C$69,0),MATCH(Calculations!$B57,'Portfolio Bucket'!$C$2:$I$2,0)))</f>
        <v/>
      </c>
      <c r="X57" s="62" t="str">
        <f>IF(X$34="","",X38*INDEX('Portfolio Bucket'!$C$2:$I$69,MATCH(Calculations!X$33,'Portfolio Bucket'!$C$2:$C$69,0),MATCH(Calculations!$B57,'Portfolio Bucket'!$C$2:$I$2,0)))</f>
        <v/>
      </c>
      <c r="Y57" s="62" t="str">
        <f>IF(Y$34="","",Y38*INDEX('Portfolio Bucket'!$C$2:$I$69,MATCH(Calculations!Y$33,'Portfolio Bucket'!$C$2:$C$69,0),MATCH(Calculations!$B57,'Portfolio Bucket'!$C$2:$I$2,0)))</f>
        <v/>
      </c>
      <c r="Z57" s="62" t="str">
        <f>IF(Z$34="","",Z38*INDEX('Portfolio Bucket'!$C$2:$I$69,MATCH(Calculations!Z$33,'Portfolio Bucket'!$C$2:$C$69,0),MATCH(Calculations!$B57,'Portfolio Bucket'!$C$2:$I$2,0)))</f>
        <v/>
      </c>
      <c r="AA57" s="62" t="str">
        <f>IF(AA$34="","",AA38*INDEX('Portfolio Bucket'!$C$2:$I$69,MATCH(Calculations!AA$33,'Portfolio Bucket'!$C$2:$C$69,0),MATCH(Calculations!$B57,'Portfolio Bucket'!$C$2:$I$2,0)))</f>
        <v/>
      </c>
      <c r="AB57" s="62" t="str">
        <f>IF(AB$34="","",AB38*INDEX('Portfolio Bucket'!$C$2:$I$69,MATCH(Calculations!AB$33,'Portfolio Bucket'!$C$2:$C$69,0),MATCH(Calculations!$B57,'Portfolio Bucket'!$C$2:$I$2,0)))</f>
        <v/>
      </c>
      <c r="AC57" s="62" t="str">
        <f>IF(AC$34="","",AC38*INDEX('Portfolio Bucket'!$C$2:$I$69,MATCH(Calculations!AC$33,'Portfolio Bucket'!$C$2:$C$69,0),MATCH(Calculations!$B57,'Portfolio Bucket'!$C$2:$I$2,0)))</f>
        <v/>
      </c>
      <c r="AD57" s="62" t="str">
        <f>IF(AD$34="","",AD38*INDEX('Portfolio Bucket'!$C$2:$I$69,MATCH(Calculations!AD$33,'Portfolio Bucket'!$C$2:$C$69,0),MATCH(Calculations!$B57,'Portfolio Bucket'!$C$2:$I$2,0)))</f>
        <v/>
      </c>
      <c r="AE57" s="62" t="str">
        <f>IF(AE$34="","",AE38*INDEX('Portfolio Bucket'!$C$2:$I$69,MATCH(Calculations!AE$33,'Portfolio Bucket'!$C$2:$C$69,0),MATCH(Calculations!$B57,'Portfolio Bucket'!$C$2:$I$2,0)))</f>
        <v/>
      </c>
      <c r="AF57" s="62" t="str">
        <f>IF(AF$34="","",AF38*INDEX('Portfolio Bucket'!$C$2:$I$69,MATCH(Calculations!AF$33,'Portfolio Bucket'!$C$2:$C$69,0),MATCH(Calculations!$B57,'Portfolio Bucket'!$C$2:$I$2,0)))</f>
        <v/>
      </c>
      <c r="AG57" s="62" t="str">
        <f>IF(AG$34="","",AG38*INDEX('Portfolio Bucket'!$C$2:$I$69,MATCH(Calculations!AG$33,'Portfolio Bucket'!$C$2:$C$69,0),MATCH(Calculations!$B57,'Portfolio Bucket'!$C$2:$I$2,0)))</f>
        <v/>
      </c>
      <c r="AI57" s="411">
        <f t="shared" si="42"/>
        <v>1018549.53</v>
      </c>
      <c r="AJ57" s="8">
        <f t="shared" si="43"/>
        <v>2.5715472514535875E-3</v>
      </c>
    </row>
    <row r="58" spans="2:36" x14ac:dyDescent="0.2">
      <c r="B58" s="6">
        <v>44295</v>
      </c>
      <c r="C58" s="62">
        <f>'Weekly  Sum'!Y8</f>
        <v>10025.549999999988</v>
      </c>
      <c r="D58" s="62">
        <f>IF(D$34="","",D39*INDEX('Portfolio Bucket'!$C$2:$I$69,MATCH(Calculations!D$33,'Portfolio Bucket'!$C$2:$C$69,0),MATCH(Calculations!$B58,'Portfolio Bucket'!$C$2:$I$2,0)))</f>
        <v>299400.60000000003</v>
      </c>
      <c r="E58" s="62">
        <f>IF(E$34="","",E39*INDEX('Portfolio Bucket'!$C$2:$I$69,MATCH(Calculations!E$33,'Portfolio Bucket'!$C$2:$C$69,0),MATCH(Calculations!$B58,'Portfolio Bucket'!$C$2:$I$2,0)))</f>
        <v>202791.83</v>
      </c>
      <c r="F58" s="62">
        <f>IF(F$34="","",F39*INDEX('Portfolio Bucket'!$C$2:$I$69,MATCH(Calculations!F$33,'Portfolio Bucket'!$C$2:$C$69,0),MATCH(Calculations!$B58,'Portfolio Bucket'!$C$2:$I$2,0)))</f>
        <v>349042.54</v>
      </c>
      <c r="G58" s="62">
        <f>IF(G$34="","",G39*INDEX('Portfolio Bucket'!$C$2:$I$69,MATCH(Calculations!G$33,'Portfolio Bucket'!$C$2:$C$69,0),MATCH(Calculations!$B58,'Portfolio Bucket'!$C$2:$I$2,0)))</f>
        <v>170207.59</v>
      </c>
      <c r="H58" s="62" t="str">
        <f>IF(H$34="","",H39*INDEX('Portfolio Bucket'!$C$2:$I$69,MATCH(Calculations!H$33,'Portfolio Bucket'!$C$2:$C$69,0),MATCH(Calculations!$B58,'Portfolio Bucket'!$C$2:$I$2,0)))</f>
        <v/>
      </c>
      <c r="I58" s="62" t="str">
        <f>IF(I$34="","",I39*INDEX('Portfolio Bucket'!$C$2:$I$69,MATCH(Calculations!I$33,'Portfolio Bucket'!$C$2:$C$69,0),MATCH(Calculations!$B58,'Portfolio Bucket'!$C$2:$I$2,0)))</f>
        <v/>
      </c>
      <c r="J58" s="62" t="str">
        <f>IF(J$34="","",J39*INDEX('Portfolio Bucket'!$C$2:$I$69,MATCH(Calculations!J$33,'Portfolio Bucket'!$C$2:$C$69,0),MATCH(Calculations!$B58,'Portfolio Bucket'!$C$2:$I$2,0)))</f>
        <v/>
      </c>
      <c r="K58" s="62" t="str">
        <f>IF(K$34="","",K39*INDEX('Portfolio Bucket'!$C$2:$I$69,MATCH(Calculations!K$33,'Portfolio Bucket'!$C$2:$C$69,0),MATCH(Calculations!$B58,'Portfolio Bucket'!$C$2:$I$2,0)))</f>
        <v/>
      </c>
      <c r="L58" s="62" t="str">
        <f>IF(L$34="","",L39*INDEX('Portfolio Bucket'!$C$2:$I$69,MATCH(Calculations!L$33,'Portfolio Bucket'!$C$2:$C$69,0),MATCH(Calculations!$B58,'Portfolio Bucket'!$C$2:$I$2,0)))</f>
        <v/>
      </c>
      <c r="M58" s="62" t="str">
        <f>IF(M$34="","",M39*INDEX('Portfolio Bucket'!$C$2:$I$69,MATCH(Calculations!M$33,'Portfolio Bucket'!$C$2:$C$69,0),MATCH(Calculations!$B58,'Portfolio Bucket'!$C$2:$I$2,0)))</f>
        <v/>
      </c>
      <c r="N58" s="62" t="str">
        <f>IF(N$34="","",N39*INDEX('Portfolio Bucket'!$C$2:$I$69,MATCH(Calculations!N$33,'Portfolio Bucket'!$C$2:$C$69,0),MATCH(Calculations!$B58,'Portfolio Bucket'!$C$2:$I$2,0)))</f>
        <v/>
      </c>
      <c r="O58" s="62" t="str">
        <f>IF(O$34="","",O39*INDEX('Portfolio Bucket'!$C$2:$I$69,MATCH(Calculations!O$33,'Portfolio Bucket'!$C$2:$C$69,0),MATCH(Calculations!$B58,'Portfolio Bucket'!$C$2:$I$2,0)))</f>
        <v/>
      </c>
      <c r="P58" s="62" t="str">
        <f>IF(P$34="","",P39*INDEX('Portfolio Bucket'!$C$2:$I$69,MATCH(Calculations!P$33,'Portfolio Bucket'!$C$2:$C$69,0),MATCH(Calculations!$B58,'Portfolio Bucket'!$C$2:$I$2,0)))</f>
        <v/>
      </c>
      <c r="Q58" s="62" t="str">
        <f>IF(Q$34="","",Q39*INDEX('Portfolio Bucket'!$C$2:$I$69,MATCH(Calculations!Q$33,'Portfolio Bucket'!$C$2:$C$69,0),MATCH(Calculations!$B58,'Portfolio Bucket'!$C$2:$I$2,0)))</f>
        <v/>
      </c>
      <c r="R58" s="62" t="str">
        <f>IF(R$34="","",R39*INDEX('Portfolio Bucket'!$C$2:$I$69,MATCH(Calculations!R$33,'Portfolio Bucket'!$C$2:$C$69,0),MATCH(Calculations!$B58,'Portfolio Bucket'!$C$2:$I$2,0)))</f>
        <v/>
      </c>
      <c r="S58" s="62" t="str">
        <f>IF(S$34="","",S39*INDEX('Portfolio Bucket'!$C$2:$I$69,MATCH(Calculations!S$33,'Portfolio Bucket'!$C$2:$C$69,0),MATCH(Calculations!$B58,'Portfolio Bucket'!$C$2:$I$2,0)))</f>
        <v/>
      </c>
      <c r="T58" s="62" t="str">
        <f>IF(T$34="","",T39*INDEX('Portfolio Bucket'!$C$2:$I$69,MATCH(Calculations!T$33,'Portfolio Bucket'!$C$2:$C$69,0),MATCH(Calculations!$B58,'Portfolio Bucket'!$C$2:$I$2,0)))</f>
        <v/>
      </c>
      <c r="U58" s="62" t="str">
        <f>IF(U$34="","",U39*INDEX('Portfolio Bucket'!$C$2:$I$69,MATCH(Calculations!U$33,'Portfolio Bucket'!$C$2:$C$69,0),MATCH(Calculations!$B58,'Portfolio Bucket'!$C$2:$I$2,0)))</f>
        <v/>
      </c>
      <c r="V58" s="62" t="str">
        <f>IF(V$34="","",V39*INDEX('Portfolio Bucket'!$C$2:$I$69,MATCH(Calculations!V$33,'Portfolio Bucket'!$C$2:$C$69,0),MATCH(Calculations!$B58,'Portfolio Bucket'!$C$2:$I$2,0)))</f>
        <v/>
      </c>
      <c r="W58" s="62" t="str">
        <f>IF(W$34="","",W39*INDEX('Portfolio Bucket'!$C$2:$I$69,MATCH(Calculations!W$33,'Portfolio Bucket'!$C$2:$C$69,0),MATCH(Calculations!$B58,'Portfolio Bucket'!$C$2:$I$2,0)))</f>
        <v/>
      </c>
      <c r="X58" s="62" t="str">
        <f>IF(X$34="","",X39*INDEX('Portfolio Bucket'!$C$2:$I$69,MATCH(Calculations!X$33,'Portfolio Bucket'!$C$2:$C$69,0),MATCH(Calculations!$B58,'Portfolio Bucket'!$C$2:$I$2,0)))</f>
        <v/>
      </c>
      <c r="Y58" s="62" t="str">
        <f>IF(Y$34="","",Y39*INDEX('Portfolio Bucket'!$C$2:$I$69,MATCH(Calculations!Y$33,'Portfolio Bucket'!$C$2:$C$69,0),MATCH(Calculations!$B58,'Portfolio Bucket'!$C$2:$I$2,0)))</f>
        <v/>
      </c>
      <c r="Z58" s="62" t="str">
        <f>IF(Z$34="","",Z39*INDEX('Portfolio Bucket'!$C$2:$I$69,MATCH(Calculations!Z$33,'Portfolio Bucket'!$C$2:$C$69,0),MATCH(Calculations!$B58,'Portfolio Bucket'!$C$2:$I$2,0)))</f>
        <v/>
      </c>
      <c r="AA58" s="62" t="str">
        <f>IF(AA$34="","",AA39*INDEX('Portfolio Bucket'!$C$2:$I$69,MATCH(Calculations!AA$33,'Portfolio Bucket'!$C$2:$C$69,0),MATCH(Calculations!$B58,'Portfolio Bucket'!$C$2:$I$2,0)))</f>
        <v/>
      </c>
      <c r="AB58" s="62" t="str">
        <f>IF(AB$34="","",AB39*INDEX('Portfolio Bucket'!$C$2:$I$69,MATCH(Calculations!AB$33,'Portfolio Bucket'!$C$2:$C$69,0),MATCH(Calculations!$B58,'Portfolio Bucket'!$C$2:$I$2,0)))</f>
        <v/>
      </c>
      <c r="AC58" s="62" t="str">
        <f>IF(AC$34="","",AC39*INDEX('Portfolio Bucket'!$C$2:$I$69,MATCH(Calculations!AC$33,'Portfolio Bucket'!$C$2:$C$69,0),MATCH(Calculations!$B58,'Portfolio Bucket'!$C$2:$I$2,0)))</f>
        <v/>
      </c>
      <c r="AD58" s="62" t="str">
        <f>IF(AD$34="","",AD39*INDEX('Portfolio Bucket'!$C$2:$I$69,MATCH(Calculations!AD$33,'Portfolio Bucket'!$C$2:$C$69,0),MATCH(Calculations!$B58,'Portfolio Bucket'!$C$2:$I$2,0)))</f>
        <v/>
      </c>
      <c r="AE58" s="62" t="str">
        <f>IF(AE$34="","",AE39*INDEX('Portfolio Bucket'!$C$2:$I$69,MATCH(Calculations!AE$33,'Portfolio Bucket'!$C$2:$C$69,0),MATCH(Calculations!$B58,'Portfolio Bucket'!$C$2:$I$2,0)))</f>
        <v/>
      </c>
      <c r="AF58" s="62" t="str">
        <f>IF(AF$34="","",AF39*INDEX('Portfolio Bucket'!$C$2:$I$69,MATCH(Calculations!AF$33,'Portfolio Bucket'!$C$2:$C$69,0),MATCH(Calculations!$B58,'Portfolio Bucket'!$C$2:$I$2,0)))</f>
        <v/>
      </c>
      <c r="AG58" s="62" t="str">
        <f>IF(AG$34="","",AG39*INDEX('Portfolio Bucket'!$C$2:$I$69,MATCH(Calculations!AG$33,'Portfolio Bucket'!$C$2:$C$69,0),MATCH(Calculations!$B58,'Portfolio Bucket'!$C$2:$I$2,0)))</f>
        <v/>
      </c>
      <c r="AI58" s="411">
        <f t="shared" si="42"/>
        <v>1031468.11</v>
      </c>
      <c r="AJ58" s="8">
        <f t="shared" si="43"/>
        <v>1.2683310550445137E-2</v>
      </c>
    </row>
    <row r="60" spans="2:36" x14ac:dyDescent="0.2">
      <c r="AJ60" s="8">
        <f>AI58/AI53-1</f>
        <v>3.1468110000000049E-2</v>
      </c>
    </row>
    <row r="61" spans="2:36" x14ac:dyDescent="0.2">
      <c r="B61" s="1" t="s">
        <v>436</v>
      </c>
      <c r="C61" s="1" t="str">
        <f>C52</f>
        <v>Cash</v>
      </c>
      <c r="D61" s="1" t="str">
        <f t="shared" ref="D61:AG61" si="44">D52</f>
        <v>BWX</v>
      </c>
      <c r="E61" s="1" t="str">
        <f t="shared" si="44"/>
        <v>EZU</v>
      </c>
      <c r="F61" s="1" t="str">
        <f t="shared" si="44"/>
        <v>IAU</v>
      </c>
      <c r="G61" s="1" t="str">
        <f t="shared" si="44"/>
        <v>VTI</v>
      </c>
      <c r="H61" s="1" t="str">
        <f t="shared" si="44"/>
        <v/>
      </c>
      <c r="I61" s="1" t="str">
        <f t="shared" si="44"/>
        <v/>
      </c>
      <c r="J61" s="1" t="str">
        <f t="shared" si="44"/>
        <v/>
      </c>
      <c r="K61" s="1" t="str">
        <f t="shared" si="44"/>
        <v/>
      </c>
      <c r="L61" s="1" t="str">
        <f t="shared" si="44"/>
        <v/>
      </c>
      <c r="M61" s="1" t="str">
        <f t="shared" si="44"/>
        <v/>
      </c>
      <c r="N61" s="1" t="str">
        <f t="shared" si="44"/>
        <v/>
      </c>
      <c r="O61" s="1" t="str">
        <f t="shared" si="44"/>
        <v/>
      </c>
      <c r="P61" s="1" t="str">
        <f t="shared" si="44"/>
        <v/>
      </c>
      <c r="Q61" s="1" t="str">
        <f t="shared" si="44"/>
        <v/>
      </c>
      <c r="R61" s="1" t="str">
        <f t="shared" si="44"/>
        <v/>
      </c>
      <c r="S61" s="1" t="str">
        <f t="shared" si="44"/>
        <v/>
      </c>
      <c r="T61" s="1" t="str">
        <f t="shared" si="44"/>
        <v/>
      </c>
      <c r="U61" s="1" t="str">
        <f t="shared" si="44"/>
        <v/>
      </c>
      <c r="V61" s="1" t="str">
        <f t="shared" si="44"/>
        <v/>
      </c>
      <c r="W61" s="1" t="str">
        <f t="shared" si="44"/>
        <v/>
      </c>
      <c r="X61" s="1" t="str">
        <f t="shared" si="44"/>
        <v/>
      </c>
      <c r="Y61" s="1" t="str">
        <f t="shared" si="44"/>
        <v/>
      </c>
      <c r="Z61" s="1" t="str">
        <f t="shared" si="44"/>
        <v/>
      </c>
      <c r="AA61" s="1" t="str">
        <f t="shared" si="44"/>
        <v/>
      </c>
      <c r="AB61" s="1" t="str">
        <f>AB52</f>
        <v/>
      </c>
      <c r="AC61" t="str">
        <f t="shared" si="44"/>
        <v/>
      </c>
      <c r="AD61" t="str">
        <f t="shared" si="44"/>
        <v/>
      </c>
      <c r="AE61" t="str">
        <f t="shared" si="44"/>
        <v/>
      </c>
      <c r="AF61" t="str">
        <f t="shared" si="44"/>
        <v/>
      </c>
      <c r="AG61" t="str">
        <f t="shared" si="44"/>
        <v/>
      </c>
    </row>
    <row r="62" spans="2:36" x14ac:dyDescent="0.2">
      <c r="B62" s="6">
        <f>B53</f>
        <v>44260</v>
      </c>
      <c r="C62" s="579">
        <f>C53/$AI53</f>
        <v>1</v>
      </c>
      <c r="D62" s="580">
        <f t="shared" ref="D62:H62" si="45">D53/$AI53</f>
        <v>0</v>
      </c>
      <c r="E62" s="580">
        <f t="shared" si="45"/>
        <v>0</v>
      </c>
      <c r="F62" s="580">
        <f t="shared" si="45"/>
        <v>0</v>
      </c>
      <c r="G62" s="580">
        <f t="shared" si="45"/>
        <v>0</v>
      </c>
      <c r="H62" s="580" t="e">
        <f t="shared" si="45"/>
        <v>#VALUE!</v>
      </c>
      <c r="I62" s="580" t="e">
        <f t="shared" ref="I62:AG62" si="46">I53/$AI53</f>
        <v>#VALUE!</v>
      </c>
      <c r="J62" s="580" t="e">
        <f t="shared" si="46"/>
        <v>#VALUE!</v>
      </c>
      <c r="K62" s="580" t="e">
        <f t="shared" si="46"/>
        <v>#VALUE!</v>
      </c>
      <c r="L62" s="580" t="e">
        <f t="shared" si="46"/>
        <v>#VALUE!</v>
      </c>
      <c r="M62" s="580" t="e">
        <f t="shared" si="46"/>
        <v>#VALUE!</v>
      </c>
      <c r="N62" s="580" t="e">
        <f t="shared" si="46"/>
        <v>#VALUE!</v>
      </c>
      <c r="O62" s="580" t="e">
        <f t="shared" si="46"/>
        <v>#VALUE!</v>
      </c>
      <c r="P62" s="580" t="e">
        <f t="shared" si="46"/>
        <v>#VALUE!</v>
      </c>
      <c r="Q62" s="580" t="e">
        <f t="shared" si="46"/>
        <v>#VALUE!</v>
      </c>
      <c r="R62" s="580" t="e">
        <f t="shared" si="46"/>
        <v>#VALUE!</v>
      </c>
      <c r="S62" s="580" t="e">
        <f t="shared" si="46"/>
        <v>#VALUE!</v>
      </c>
      <c r="T62" s="580" t="e">
        <f t="shared" si="46"/>
        <v>#VALUE!</v>
      </c>
      <c r="U62" s="580" t="e">
        <f t="shared" si="46"/>
        <v>#VALUE!</v>
      </c>
      <c r="V62" s="580" t="e">
        <f t="shared" si="46"/>
        <v>#VALUE!</v>
      </c>
      <c r="W62" s="580" t="e">
        <f t="shared" si="46"/>
        <v>#VALUE!</v>
      </c>
      <c r="X62" s="580" t="e">
        <f t="shared" si="46"/>
        <v>#VALUE!</v>
      </c>
      <c r="Y62" s="580" t="e">
        <f t="shared" si="46"/>
        <v>#VALUE!</v>
      </c>
      <c r="Z62" s="580" t="e">
        <f t="shared" si="46"/>
        <v>#VALUE!</v>
      </c>
      <c r="AA62" s="580" t="e">
        <f t="shared" si="46"/>
        <v>#VALUE!</v>
      </c>
      <c r="AB62" s="580" t="e">
        <f t="shared" si="46"/>
        <v>#VALUE!</v>
      </c>
      <c r="AC62" s="580" t="e">
        <f t="shared" si="46"/>
        <v>#VALUE!</v>
      </c>
      <c r="AD62" s="580" t="e">
        <f t="shared" si="46"/>
        <v>#VALUE!</v>
      </c>
      <c r="AE62" s="580" t="e">
        <f t="shared" si="46"/>
        <v>#VALUE!</v>
      </c>
      <c r="AF62" s="580" t="e">
        <f t="shared" si="46"/>
        <v>#VALUE!</v>
      </c>
      <c r="AG62" s="581" t="e">
        <f t="shared" si="46"/>
        <v>#VALUE!</v>
      </c>
    </row>
    <row r="63" spans="2:36" x14ac:dyDescent="0.2">
      <c r="B63" s="6">
        <f t="shared" ref="B63:B66" si="47">B54</f>
        <v>44267</v>
      </c>
      <c r="C63" s="582">
        <f t="shared" ref="C63:H67" si="48">C54/$AI54</f>
        <v>9.8620428637417792E-3</v>
      </c>
      <c r="D63" s="583">
        <f t="shared" si="48"/>
        <v>0.29528460309463506</v>
      </c>
      <c r="E63" s="583">
        <f t="shared" si="48"/>
        <v>0</v>
      </c>
      <c r="F63" s="583">
        <f t="shared" si="48"/>
        <v>0.33957168105007191</v>
      </c>
      <c r="G63" s="583">
        <f t="shared" si="48"/>
        <v>0.35528167299155117</v>
      </c>
      <c r="H63" s="583" t="e">
        <f t="shared" si="48"/>
        <v>#VALUE!</v>
      </c>
      <c r="I63" s="583" t="e">
        <f t="shared" ref="I63:AG63" si="49">I54/$AI54</f>
        <v>#VALUE!</v>
      </c>
      <c r="J63" s="583" t="e">
        <f t="shared" si="49"/>
        <v>#VALUE!</v>
      </c>
      <c r="K63" s="583" t="e">
        <f t="shared" si="49"/>
        <v>#VALUE!</v>
      </c>
      <c r="L63" s="583" t="e">
        <f t="shared" si="49"/>
        <v>#VALUE!</v>
      </c>
      <c r="M63" s="583" t="e">
        <f t="shared" si="49"/>
        <v>#VALUE!</v>
      </c>
      <c r="N63" s="583" t="e">
        <f t="shared" si="49"/>
        <v>#VALUE!</v>
      </c>
      <c r="O63" s="583" t="e">
        <f t="shared" si="49"/>
        <v>#VALUE!</v>
      </c>
      <c r="P63" s="583" t="e">
        <f t="shared" si="49"/>
        <v>#VALUE!</v>
      </c>
      <c r="Q63" s="583" t="e">
        <f t="shared" si="49"/>
        <v>#VALUE!</v>
      </c>
      <c r="R63" s="583" t="e">
        <f t="shared" si="49"/>
        <v>#VALUE!</v>
      </c>
      <c r="S63" s="583" t="e">
        <f t="shared" si="49"/>
        <v>#VALUE!</v>
      </c>
      <c r="T63" s="583" t="e">
        <f t="shared" si="49"/>
        <v>#VALUE!</v>
      </c>
      <c r="U63" s="583" t="e">
        <f t="shared" si="49"/>
        <v>#VALUE!</v>
      </c>
      <c r="V63" s="583" t="e">
        <f t="shared" si="49"/>
        <v>#VALUE!</v>
      </c>
      <c r="W63" s="583" t="e">
        <f t="shared" si="49"/>
        <v>#VALUE!</v>
      </c>
      <c r="X63" s="583" t="e">
        <f t="shared" si="49"/>
        <v>#VALUE!</v>
      </c>
      <c r="Y63" s="583" t="e">
        <f t="shared" si="49"/>
        <v>#VALUE!</v>
      </c>
      <c r="Z63" s="583" t="e">
        <f t="shared" si="49"/>
        <v>#VALUE!</v>
      </c>
      <c r="AA63" s="583" t="e">
        <f t="shared" si="49"/>
        <v>#VALUE!</v>
      </c>
      <c r="AB63" s="583" t="e">
        <f t="shared" si="49"/>
        <v>#VALUE!</v>
      </c>
      <c r="AC63" s="583" t="e">
        <f t="shared" si="49"/>
        <v>#VALUE!</v>
      </c>
      <c r="AD63" s="583" t="e">
        <f t="shared" si="49"/>
        <v>#VALUE!</v>
      </c>
      <c r="AE63" s="583" t="e">
        <f t="shared" si="49"/>
        <v>#VALUE!</v>
      </c>
      <c r="AF63" s="583" t="e">
        <f t="shared" si="49"/>
        <v>#VALUE!</v>
      </c>
      <c r="AG63" s="584" t="e">
        <f t="shared" si="49"/>
        <v>#VALUE!</v>
      </c>
    </row>
    <row r="64" spans="2:36" x14ac:dyDescent="0.2">
      <c r="B64" s="6">
        <f t="shared" si="47"/>
        <v>44274</v>
      </c>
      <c r="C64" s="582">
        <f t="shared" si="48"/>
        <v>9.8545839077880046E-3</v>
      </c>
      <c r="D64" s="583">
        <f t="shared" si="48"/>
        <v>0.29459368653756535</v>
      </c>
      <c r="E64" s="583">
        <f t="shared" si="48"/>
        <v>0.19213880500719868</v>
      </c>
      <c r="F64" s="583">
        <f>F55/$AI55</f>
        <v>0.34309030405488528</v>
      </c>
      <c r="G64" s="583">
        <f t="shared" si="48"/>
        <v>0.16032262049256277</v>
      </c>
      <c r="H64" s="583" t="e">
        <f t="shared" si="48"/>
        <v>#VALUE!</v>
      </c>
      <c r="I64" s="583" t="e">
        <f t="shared" ref="I64:AG64" si="50">I55/$AI55</f>
        <v>#VALUE!</v>
      </c>
      <c r="J64" s="583" t="e">
        <f t="shared" si="50"/>
        <v>#VALUE!</v>
      </c>
      <c r="K64" s="583" t="e">
        <f t="shared" si="50"/>
        <v>#VALUE!</v>
      </c>
      <c r="L64" s="583" t="e">
        <f t="shared" si="50"/>
        <v>#VALUE!</v>
      </c>
      <c r="M64" s="583" t="e">
        <f t="shared" si="50"/>
        <v>#VALUE!</v>
      </c>
      <c r="N64" s="583" t="e">
        <f t="shared" si="50"/>
        <v>#VALUE!</v>
      </c>
      <c r="O64" s="583" t="e">
        <f t="shared" si="50"/>
        <v>#VALUE!</v>
      </c>
      <c r="P64" s="583" t="e">
        <f t="shared" si="50"/>
        <v>#VALUE!</v>
      </c>
      <c r="Q64" s="583" t="e">
        <f t="shared" si="50"/>
        <v>#VALUE!</v>
      </c>
      <c r="R64" s="583" t="e">
        <f t="shared" si="50"/>
        <v>#VALUE!</v>
      </c>
      <c r="S64" s="583" t="e">
        <f t="shared" si="50"/>
        <v>#VALUE!</v>
      </c>
      <c r="T64" s="583" t="e">
        <f t="shared" si="50"/>
        <v>#VALUE!</v>
      </c>
      <c r="U64" s="583" t="e">
        <f t="shared" si="50"/>
        <v>#VALUE!</v>
      </c>
      <c r="V64" s="583" t="e">
        <f t="shared" si="50"/>
        <v>#VALUE!</v>
      </c>
      <c r="W64" s="583" t="e">
        <f t="shared" si="50"/>
        <v>#VALUE!</v>
      </c>
      <c r="X64" s="583" t="e">
        <f t="shared" si="50"/>
        <v>#VALUE!</v>
      </c>
      <c r="Y64" s="583" t="e">
        <f t="shared" si="50"/>
        <v>#VALUE!</v>
      </c>
      <c r="Z64" s="583" t="e">
        <f t="shared" si="50"/>
        <v>#VALUE!</v>
      </c>
      <c r="AA64" s="583" t="e">
        <f t="shared" si="50"/>
        <v>#VALUE!</v>
      </c>
      <c r="AB64" s="583" t="e">
        <f t="shared" si="50"/>
        <v>#VALUE!</v>
      </c>
      <c r="AC64" s="583" t="e">
        <f t="shared" si="50"/>
        <v>#VALUE!</v>
      </c>
      <c r="AD64" s="583" t="e">
        <f t="shared" si="50"/>
        <v>#VALUE!</v>
      </c>
      <c r="AE64" s="583" t="e">
        <f t="shared" si="50"/>
        <v>#VALUE!</v>
      </c>
      <c r="AF64" s="583" t="e">
        <f t="shared" si="50"/>
        <v>#VALUE!</v>
      </c>
      <c r="AG64" s="584" t="e">
        <f t="shared" si="50"/>
        <v>#VALUE!</v>
      </c>
    </row>
    <row r="65" spans="2:33" x14ac:dyDescent="0.2">
      <c r="B65" s="6">
        <f t="shared" si="47"/>
        <v>44281</v>
      </c>
      <c r="C65" s="582">
        <f t="shared" si="48"/>
        <v>9.8682792338501187E-3</v>
      </c>
      <c r="D65" s="583">
        <f t="shared" si="48"/>
        <v>0.29380632854202576</v>
      </c>
      <c r="E65" s="583">
        <f t="shared" si="48"/>
        <v>0.19357192424333397</v>
      </c>
      <c r="F65" s="583">
        <f t="shared" si="48"/>
        <v>0.34129183207226432</v>
      </c>
      <c r="G65" s="583">
        <f t="shared" si="48"/>
        <v>0.16146163590852583</v>
      </c>
      <c r="H65" s="583" t="e">
        <f t="shared" si="48"/>
        <v>#VALUE!</v>
      </c>
      <c r="I65" s="583" t="e">
        <f t="shared" ref="I65:AG65" si="51">I56/$AI56</f>
        <v>#VALUE!</v>
      </c>
      <c r="J65" s="583" t="e">
        <f t="shared" si="51"/>
        <v>#VALUE!</v>
      </c>
      <c r="K65" s="583" t="e">
        <f t="shared" si="51"/>
        <v>#VALUE!</v>
      </c>
      <c r="L65" s="583" t="e">
        <f t="shared" si="51"/>
        <v>#VALUE!</v>
      </c>
      <c r="M65" s="583" t="e">
        <f t="shared" si="51"/>
        <v>#VALUE!</v>
      </c>
      <c r="N65" s="583" t="e">
        <f t="shared" si="51"/>
        <v>#VALUE!</v>
      </c>
      <c r="O65" s="583" t="e">
        <f t="shared" si="51"/>
        <v>#VALUE!</v>
      </c>
      <c r="P65" s="583" t="e">
        <f t="shared" si="51"/>
        <v>#VALUE!</v>
      </c>
      <c r="Q65" s="583" t="e">
        <f t="shared" si="51"/>
        <v>#VALUE!</v>
      </c>
      <c r="R65" s="583" t="e">
        <f t="shared" si="51"/>
        <v>#VALUE!</v>
      </c>
      <c r="S65" s="583" t="e">
        <f t="shared" si="51"/>
        <v>#VALUE!</v>
      </c>
      <c r="T65" s="583" t="e">
        <f t="shared" si="51"/>
        <v>#VALUE!</v>
      </c>
      <c r="U65" s="583" t="e">
        <f t="shared" si="51"/>
        <v>#VALUE!</v>
      </c>
      <c r="V65" s="583" t="e">
        <f t="shared" si="51"/>
        <v>#VALUE!</v>
      </c>
      <c r="W65" s="583" t="e">
        <f t="shared" si="51"/>
        <v>#VALUE!</v>
      </c>
      <c r="X65" s="583" t="e">
        <f t="shared" si="51"/>
        <v>#VALUE!</v>
      </c>
      <c r="Y65" s="583" t="e">
        <f t="shared" si="51"/>
        <v>#VALUE!</v>
      </c>
      <c r="Z65" s="583" t="e">
        <f t="shared" si="51"/>
        <v>#VALUE!</v>
      </c>
      <c r="AA65" s="583" t="e">
        <f t="shared" si="51"/>
        <v>#VALUE!</v>
      </c>
      <c r="AB65" s="583" t="e">
        <f t="shared" si="51"/>
        <v>#VALUE!</v>
      </c>
      <c r="AC65" s="583" t="e">
        <f t="shared" si="51"/>
        <v>#VALUE!</v>
      </c>
      <c r="AD65" s="583" t="e">
        <f t="shared" si="51"/>
        <v>#VALUE!</v>
      </c>
      <c r="AE65" s="583" t="e">
        <f t="shared" si="51"/>
        <v>#VALUE!</v>
      </c>
      <c r="AF65" s="583" t="e">
        <f t="shared" si="51"/>
        <v>#VALUE!</v>
      </c>
      <c r="AG65" s="584" t="e">
        <f t="shared" si="51"/>
        <v>#VALUE!</v>
      </c>
    </row>
    <row r="66" spans="2:33" x14ac:dyDescent="0.2">
      <c r="B66" s="6">
        <f t="shared" si="47"/>
        <v>44288</v>
      </c>
      <c r="C66" s="582">
        <f t="shared" si="48"/>
        <v>9.8429675776297177E-3</v>
      </c>
      <c r="D66" s="583">
        <f t="shared" si="48"/>
        <v>0.29126218339131726</v>
      </c>
      <c r="E66" s="583">
        <f t="shared" si="48"/>
        <v>0.19610780243548884</v>
      </c>
      <c r="F66" s="583">
        <f t="shared" si="48"/>
        <v>0.33959118316023373</v>
      </c>
      <c r="G66" s="583">
        <f t="shared" si="48"/>
        <v>0.16319586343533043</v>
      </c>
      <c r="H66" s="583" t="e">
        <f t="shared" si="48"/>
        <v>#VALUE!</v>
      </c>
      <c r="I66" s="583" t="e">
        <f t="shared" ref="I66:AG66" si="52">I57/$AI57</f>
        <v>#VALUE!</v>
      </c>
      <c r="J66" s="583" t="e">
        <f t="shared" si="52"/>
        <v>#VALUE!</v>
      </c>
      <c r="K66" s="583" t="e">
        <f t="shared" si="52"/>
        <v>#VALUE!</v>
      </c>
      <c r="L66" s="583" t="e">
        <f t="shared" si="52"/>
        <v>#VALUE!</v>
      </c>
      <c r="M66" s="583" t="e">
        <f t="shared" si="52"/>
        <v>#VALUE!</v>
      </c>
      <c r="N66" s="583" t="e">
        <f t="shared" si="52"/>
        <v>#VALUE!</v>
      </c>
      <c r="O66" s="583" t="e">
        <f t="shared" si="52"/>
        <v>#VALUE!</v>
      </c>
      <c r="P66" s="583" t="e">
        <f t="shared" si="52"/>
        <v>#VALUE!</v>
      </c>
      <c r="Q66" s="583" t="e">
        <f t="shared" si="52"/>
        <v>#VALUE!</v>
      </c>
      <c r="R66" s="583" t="e">
        <f t="shared" si="52"/>
        <v>#VALUE!</v>
      </c>
      <c r="S66" s="583" t="e">
        <f t="shared" si="52"/>
        <v>#VALUE!</v>
      </c>
      <c r="T66" s="583" t="e">
        <f t="shared" si="52"/>
        <v>#VALUE!</v>
      </c>
      <c r="U66" s="583" t="e">
        <f t="shared" si="52"/>
        <v>#VALUE!</v>
      </c>
      <c r="V66" s="583" t="e">
        <f t="shared" si="52"/>
        <v>#VALUE!</v>
      </c>
      <c r="W66" s="583" t="e">
        <f t="shared" si="52"/>
        <v>#VALUE!</v>
      </c>
      <c r="X66" s="583" t="e">
        <f t="shared" si="52"/>
        <v>#VALUE!</v>
      </c>
      <c r="Y66" s="583" t="e">
        <f t="shared" si="52"/>
        <v>#VALUE!</v>
      </c>
      <c r="Z66" s="583" t="e">
        <f t="shared" si="52"/>
        <v>#VALUE!</v>
      </c>
      <c r="AA66" s="583" t="e">
        <f t="shared" si="52"/>
        <v>#VALUE!</v>
      </c>
      <c r="AB66" s="583" t="e">
        <f t="shared" si="52"/>
        <v>#VALUE!</v>
      </c>
      <c r="AC66" s="583" t="e">
        <f t="shared" si="52"/>
        <v>#VALUE!</v>
      </c>
      <c r="AD66" s="583" t="e">
        <f t="shared" si="52"/>
        <v>#VALUE!</v>
      </c>
      <c r="AE66" s="583" t="e">
        <f t="shared" si="52"/>
        <v>#VALUE!</v>
      </c>
      <c r="AF66" s="583" t="e">
        <f t="shared" si="52"/>
        <v>#VALUE!</v>
      </c>
      <c r="AG66" s="584" t="e">
        <f t="shared" si="52"/>
        <v>#VALUE!</v>
      </c>
    </row>
    <row r="67" spans="2:33" x14ac:dyDescent="0.2">
      <c r="B67" s="6">
        <f>B58</f>
        <v>44295</v>
      </c>
      <c r="C67" s="585">
        <f t="shared" si="48"/>
        <v>9.7196897342759232E-3</v>
      </c>
      <c r="D67" s="586">
        <f t="shared" si="48"/>
        <v>0.29026646301260833</v>
      </c>
      <c r="E67" s="586">
        <f t="shared" si="48"/>
        <v>0.1966050409449886</v>
      </c>
      <c r="F67" s="586">
        <f t="shared" si="48"/>
        <v>0.338393922813571</v>
      </c>
      <c r="G67" s="586">
        <f t="shared" si="48"/>
        <v>0.16501488349455612</v>
      </c>
      <c r="H67" s="586" t="e">
        <f t="shared" si="48"/>
        <v>#VALUE!</v>
      </c>
      <c r="I67" s="586" t="e">
        <f t="shared" ref="I67:AG67" si="53">I58/$AI58</f>
        <v>#VALUE!</v>
      </c>
      <c r="J67" s="586" t="e">
        <f t="shared" si="53"/>
        <v>#VALUE!</v>
      </c>
      <c r="K67" s="586" t="e">
        <f t="shared" si="53"/>
        <v>#VALUE!</v>
      </c>
      <c r="L67" s="586" t="e">
        <f t="shared" si="53"/>
        <v>#VALUE!</v>
      </c>
      <c r="M67" s="586" t="e">
        <f t="shared" si="53"/>
        <v>#VALUE!</v>
      </c>
      <c r="N67" s="586" t="e">
        <f t="shared" si="53"/>
        <v>#VALUE!</v>
      </c>
      <c r="O67" s="586" t="e">
        <f t="shared" si="53"/>
        <v>#VALUE!</v>
      </c>
      <c r="P67" s="586" t="e">
        <f t="shared" si="53"/>
        <v>#VALUE!</v>
      </c>
      <c r="Q67" s="586" t="e">
        <f t="shared" si="53"/>
        <v>#VALUE!</v>
      </c>
      <c r="R67" s="586" t="e">
        <f t="shared" si="53"/>
        <v>#VALUE!</v>
      </c>
      <c r="S67" s="586" t="e">
        <f t="shared" si="53"/>
        <v>#VALUE!</v>
      </c>
      <c r="T67" s="586" t="e">
        <f t="shared" si="53"/>
        <v>#VALUE!</v>
      </c>
      <c r="U67" s="586" t="e">
        <f t="shared" si="53"/>
        <v>#VALUE!</v>
      </c>
      <c r="V67" s="586" t="e">
        <f t="shared" si="53"/>
        <v>#VALUE!</v>
      </c>
      <c r="W67" s="586" t="e">
        <f t="shared" si="53"/>
        <v>#VALUE!</v>
      </c>
      <c r="X67" s="586" t="e">
        <f t="shared" si="53"/>
        <v>#VALUE!</v>
      </c>
      <c r="Y67" s="586" t="e">
        <f t="shared" si="53"/>
        <v>#VALUE!</v>
      </c>
      <c r="Z67" s="586" t="e">
        <f t="shared" si="53"/>
        <v>#VALUE!</v>
      </c>
      <c r="AA67" s="586" t="e">
        <f t="shared" si="53"/>
        <v>#VALUE!</v>
      </c>
      <c r="AB67" s="586" t="e">
        <f t="shared" si="53"/>
        <v>#VALUE!</v>
      </c>
      <c r="AC67" s="586" t="e">
        <f t="shared" si="53"/>
        <v>#VALUE!</v>
      </c>
      <c r="AD67" s="586" t="e">
        <f t="shared" si="53"/>
        <v>#VALUE!</v>
      </c>
      <c r="AE67" s="586" t="e">
        <f t="shared" si="53"/>
        <v>#VALUE!</v>
      </c>
      <c r="AF67" s="586" t="e">
        <f t="shared" si="53"/>
        <v>#VALUE!</v>
      </c>
      <c r="AG67" s="587" t="e">
        <f t="shared" si="53"/>
        <v>#VALUE!</v>
      </c>
    </row>
    <row r="68" spans="2:33" x14ac:dyDescent="0.2">
      <c r="B68" s="6" t="s">
        <v>330</v>
      </c>
      <c r="C68" s="9">
        <f t="shared" ref="C68:Z68" si="54">AVERAGE(C62:C67)</f>
        <v>0.17485792721954754</v>
      </c>
      <c r="D68" s="9">
        <f t="shared" si="54"/>
        <v>0.24420221076302531</v>
      </c>
      <c r="E68" s="9">
        <f t="shared" si="54"/>
        <v>0.12973726210516834</v>
      </c>
      <c r="F68" s="9">
        <f t="shared" si="54"/>
        <v>0.28365648719183773</v>
      </c>
      <c r="G68" s="9">
        <f t="shared" si="54"/>
        <v>0.16754611272042105</v>
      </c>
      <c r="H68" s="9" t="e">
        <f t="shared" si="54"/>
        <v>#VALUE!</v>
      </c>
      <c r="I68" s="9" t="e">
        <f t="shared" si="54"/>
        <v>#VALUE!</v>
      </c>
      <c r="J68" s="9" t="e">
        <f t="shared" si="54"/>
        <v>#VALUE!</v>
      </c>
      <c r="K68" s="9" t="e">
        <f t="shared" si="54"/>
        <v>#VALUE!</v>
      </c>
      <c r="L68" s="9" t="e">
        <f t="shared" si="54"/>
        <v>#VALUE!</v>
      </c>
      <c r="M68" s="9" t="e">
        <f t="shared" si="54"/>
        <v>#VALUE!</v>
      </c>
      <c r="N68" s="9" t="e">
        <f t="shared" si="54"/>
        <v>#VALUE!</v>
      </c>
      <c r="O68" s="9" t="e">
        <f t="shared" si="54"/>
        <v>#VALUE!</v>
      </c>
      <c r="P68" s="9" t="e">
        <f t="shared" si="54"/>
        <v>#VALUE!</v>
      </c>
      <c r="Q68" s="9" t="e">
        <f t="shared" si="54"/>
        <v>#VALUE!</v>
      </c>
      <c r="R68" s="9" t="e">
        <f t="shared" si="54"/>
        <v>#VALUE!</v>
      </c>
      <c r="S68" s="9" t="e">
        <f t="shared" si="54"/>
        <v>#VALUE!</v>
      </c>
      <c r="T68" s="9" t="e">
        <f t="shared" si="54"/>
        <v>#VALUE!</v>
      </c>
      <c r="U68" s="9" t="e">
        <f t="shared" si="54"/>
        <v>#VALUE!</v>
      </c>
      <c r="V68" s="9" t="e">
        <f t="shared" si="54"/>
        <v>#VALUE!</v>
      </c>
      <c r="W68" s="9" t="e">
        <f t="shared" si="54"/>
        <v>#VALUE!</v>
      </c>
      <c r="X68" s="9" t="e">
        <f t="shared" si="54"/>
        <v>#VALUE!</v>
      </c>
      <c r="Y68" s="9" t="e">
        <f t="shared" si="54"/>
        <v>#VALUE!</v>
      </c>
      <c r="Z68" s="9" t="e">
        <f t="shared" si="54"/>
        <v>#VALUE!</v>
      </c>
      <c r="AA68" s="9" t="e">
        <f t="shared" ref="AA68:AG68" si="55">AVERAGE(AA62:AA67)</f>
        <v>#VALUE!</v>
      </c>
      <c r="AB68" s="9" t="e">
        <f>AVERAGE(AB62:AB67)</f>
        <v>#VALUE!</v>
      </c>
      <c r="AC68" s="236" t="e">
        <f t="shared" si="55"/>
        <v>#VALUE!</v>
      </c>
      <c r="AD68" s="236" t="e">
        <f t="shared" si="55"/>
        <v>#VALUE!</v>
      </c>
      <c r="AE68" s="236" t="e">
        <f t="shared" si="55"/>
        <v>#VALUE!</v>
      </c>
      <c r="AF68" s="236" t="e">
        <f t="shared" si="55"/>
        <v>#VALUE!</v>
      </c>
      <c r="AG68" s="236" t="e">
        <f t="shared" si="55"/>
        <v>#VALUE!</v>
      </c>
    </row>
    <row r="69" spans="2:33" x14ac:dyDescent="0.2">
      <c r="B69" s="6"/>
      <c r="C69" s="236"/>
      <c r="D69" s="236"/>
      <c r="E69" s="236"/>
      <c r="F69" s="236"/>
      <c r="G69" s="236"/>
      <c r="H69" s="236"/>
      <c r="I69" s="236"/>
    </row>
    <row r="73" spans="2:33" x14ac:dyDescent="0.2">
      <c r="B73" s="18" t="s">
        <v>159</v>
      </c>
      <c r="C73" s="18" t="s">
        <v>164</v>
      </c>
      <c r="D73" s="18" t="s">
        <v>163</v>
      </c>
      <c r="E73" s="18" t="s">
        <v>331</v>
      </c>
      <c r="F73" s="18" t="s">
        <v>233</v>
      </c>
      <c r="G73" s="18" t="s">
        <v>163</v>
      </c>
      <c r="H73" s="18" t="s">
        <v>331</v>
      </c>
    </row>
    <row r="74" spans="2:33" x14ac:dyDescent="0.2">
      <c r="B74" s="131">
        <f t="array" ref="B74:B79">TRANSPOSE(Dates)</f>
        <v>44260</v>
      </c>
      <c r="C74" s="132">
        <f t="shared" ref="C74:C79" si="56">AI53/1000000</f>
        <v>1</v>
      </c>
      <c r="D74" s="133"/>
      <c r="E74" s="396">
        <f>C74-1</f>
        <v>0</v>
      </c>
      <c r="F74" s="132">
        <f t="shared" ref="F74:F79" si="57">Z7</f>
        <v>1</v>
      </c>
      <c r="G74" s="133"/>
      <c r="H74" s="388">
        <f t="shared" ref="H74:H79" si="58">F74-1</f>
        <v>0</v>
      </c>
    </row>
    <row r="75" spans="2:33" x14ac:dyDescent="0.2">
      <c r="B75" s="134">
        <v>44267</v>
      </c>
      <c r="C75" s="135">
        <f t="shared" si="56"/>
        <v>1.0173703500000002</v>
      </c>
      <c r="D75" s="136">
        <f>C75/C74-1</f>
        <v>1.7370350000000201E-2</v>
      </c>
      <c r="E75" s="136">
        <f t="shared" ref="E75:E79" si="59">C75-1</f>
        <v>1.7370350000000201E-2</v>
      </c>
      <c r="F75" s="135">
        <f t="shared" si="57"/>
        <v>1.0173718240937835</v>
      </c>
      <c r="G75" s="137">
        <f>F75/F74-1</f>
        <v>1.7371824093783461E-2</v>
      </c>
      <c r="H75" s="389">
        <f t="shared" si="58"/>
        <v>1.7371824093783461E-2</v>
      </c>
    </row>
    <row r="76" spans="2:33" x14ac:dyDescent="0.2">
      <c r="B76" s="134">
        <v>44274</v>
      </c>
      <c r="C76" s="135">
        <f t="shared" si="56"/>
        <v>1.0173488899999998</v>
      </c>
      <c r="D76" s="136">
        <f t="shared" ref="D76" si="60">C76/C75-1</f>
        <v>-2.1093596840437989E-5</v>
      </c>
      <c r="E76" s="136">
        <f t="shared" si="59"/>
        <v>1.7348889999999839E-2</v>
      </c>
      <c r="F76" s="135">
        <f t="shared" si="57"/>
        <v>1.0166514202874595</v>
      </c>
      <c r="G76" s="137">
        <f>F76/F75-1</f>
        <v>-7.081027695706732E-4</v>
      </c>
      <c r="H76" s="389">
        <f t="shared" si="58"/>
        <v>1.6651420287459473E-2</v>
      </c>
    </row>
    <row r="77" spans="2:33" x14ac:dyDescent="0.2">
      <c r="B77" s="134">
        <v>44281</v>
      </c>
      <c r="C77" s="135">
        <f t="shared" si="56"/>
        <v>1.0159370000000001</v>
      </c>
      <c r="D77" s="136">
        <f t="shared" ref="D77" si="61">C77/C76-1</f>
        <v>-1.3878129851793153E-3</v>
      </c>
      <c r="E77" s="136">
        <f t="shared" si="59"/>
        <v>1.593700000000009E-2</v>
      </c>
      <c r="F77" s="135">
        <f t="shared" si="57"/>
        <v>1.0151667115456535</v>
      </c>
      <c r="G77" s="137">
        <f>F77/F76-1</f>
        <v>-1.4603911549015969E-3</v>
      </c>
      <c r="H77" s="389">
        <f t="shared" si="58"/>
        <v>1.5166711545653522E-2</v>
      </c>
    </row>
    <row r="78" spans="2:33" x14ac:dyDescent="0.2">
      <c r="B78" s="134">
        <v>44288</v>
      </c>
      <c r="C78" s="135">
        <f t="shared" si="56"/>
        <v>1.01854953</v>
      </c>
      <c r="D78" s="136">
        <f t="shared" ref="D78" si="62">C78/C77-1</f>
        <v>2.5715472514535875E-3</v>
      </c>
      <c r="E78" s="136">
        <f t="shared" si="59"/>
        <v>1.8549530000000036E-2</v>
      </c>
      <c r="F78" s="135">
        <f t="shared" si="57"/>
        <v>1.0173043433523792</v>
      </c>
      <c r="G78" s="137">
        <f>F78/F77-1</f>
        <v>2.1056953330069739E-3</v>
      </c>
      <c r="H78" s="389">
        <f t="shared" si="58"/>
        <v>1.7304343352379181E-2</v>
      </c>
    </row>
    <row r="79" spans="2:33" x14ac:dyDescent="0.2">
      <c r="B79" s="140">
        <v>44295</v>
      </c>
      <c r="C79" s="141">
        <f t="shared" si="56"/>
        <v>1.03146811</v>
      </c>
      <c r="D79" s="142">
        <f t="shared" ref="D79" si="63">C79/C78-1</f>
        <v>1.2683310550445137E-2</v>
      </c>
      <c r="E79" s="142">
        <f t="shared" si="59"/>
        <v>3.1468110000000049E-2</v>
      </c>
      <c r="F79" s="141">
        <f t="shared" si="57"/>
        <v>1.0319356741003891</v>
      </c>
      <c r="G79" s="143">
        <f>F79/F78-1</f>
        <v>1.438245186272824E-2</v>
      </c>
      <c r="H79" s="390">
        <f t="shared" si="58"/>
        <v>3.1935674100389111E-2</v>
      </c>
    </row>
    <row r="80" spans="2:33" x14ac:dyDescent="0.2">
      <c r="B80" s="155"/>
      <c r="C80" s="72"/>
      <c r="D80" s="72"/>
      <c r="E80" s="72"/>
      <c r="F80" s="72"/>
      <c r="G80" s="72"/>
      <c r="H80" s="163"/>
    </row>
    <row r="81" spans="2:8" x14ac:dyDescent="0.2">
      <c r="B81" s="155" t="s">
        <v>348</v>
      </c>
      <c r="C81" s="72"/>
      <c r="D81" s="167">
        <f>CORREL(D75:D79,G75:G79)</f>
        <v>0.99614266573922949</v>
      </c>
      <c r="E81" s="72"/>
      <c r="F81" s="72"/>
      <c r="G81" s="72"/>
      <c r="H81" s="163"/>
    </row>
    <row r="82" spans="2:8" x14ac:dyDescent="0.2">
      <c r="B82" s="155" t="s">
        <v>166</v>
      </c>
      <c r="C82" s="72"/>
      <c r="D82" s="168">
        <f>_xlfn.COVARIANCE.S(D75:D79,G75:G79)/_xlfn.VAR.S(G75:G79)</f>
        <v>0.9330974868117804</v>
      </c>
      <c r="E82" s="72"/>
      <c r="F82" s="72"/>
      <c r="G82" s="72"/>
      <c r="H82" s="163"/>
    </row>
    <row r="83" spans="2:8" x14ac:dyDescent="0.2">
      <c r="B83" s="164" t="s">
        <v>160</v>
      </c>
      <c r="C83" s="165"/>
      <c r="D83" s="169">
        <f>_xlfn.STDEV.S(D75:D79)</f>
        <v>8.3102836648277605E-3</v>
      </c>
      <c r="E83" s="165"/>
      <c r="F83" s="165"/>
      <c r="G83" s="165"/>
      <c r="H83" s="166"/>
    </row>
  </sheetData>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A1:Z79"/>
  <sheetViews>
    <sheetView topLeftCell="C55" zoomScale="80" zoomScaleNormal="80" workbookViewId="0">
      <selection activeCell="AA21" sqref="AA21"/>
    </sheetView>
  </sheetViews>
  <sheetFormatPr baseColWidth="10" defaultColWidth="8.83203125" defaultRowHeight="15" x14ac:dyDescent="0.2"/>
  <cols>
    <col min="1" max="1" width="3" bestFit="1" customWidth="1"/>
    <col min="2" max="2" width="17.33203125" bestFit="1" customWidth="1"/>
    <col min="3" max="3" width="14.1640625" bestFit="1" customWidth="1"/>
    <col min="4" max="4" width="12.33203125" bestFit="1" customWidth="1"/>
    <col min="5" max="5" width="14.5" bestFit="1" customWidth="1"/>
    <col min="6" max="6" width="8.83203125" bestFit="1" customWidth="1"/>
    <col min="7" max="7" width="16" bestFit="1" customWidth="1"/>
    <col min="8" max="8" width="12.33203125" bestFit="1" customWidth="1"/>
    <col min="9" max="9" width="14.5" bestFit="1" customWidth="1"/>
    <col min="10" max="10" width="8.83203125" bestFit="1" customWidth="1"/>
    <col min="11" max="11" width="16" bestFit="1" customWidth="1"/>
    <col min="12" max="12" width="15.1640625" bestFit="1" customWidth="1"/>
    <col min="13" max="13" width="14.5" bestFit="1" customWidth="1"/>
    <col min="14" max="14" width="8.1640625" bestFit="1" customWidth="1"/>
    <col min="15" max="15" width="16" bestFit="1" customWidth="1"/>
    <col min="16" max="16" width="12.33203125" bestFit="1" customWidth="1"/>
    <col min="17" max="17" width="14.5" bestFit="1" customWidth="1"/>
    <col min="18" max="18" width="8.1640625" bestFit="1" customWidth="1"/>
    <col min="19" max="19" width="16" bestFit="1" customWidth="1"/>
    <col min="20" max="20" width="12.33203125" bestFit="1" customWidth="1"/>
    <col min="21" max="21" width="15.1640625" bestFit="1" customWidth="1"/>
    <col min="22" max="22" width="8.1640625" bestFit="1" customWidth="1"/>
    <col min="23" max="23" width="16" bestFit="1" customWidth="1"/>
    <col min="24" max="24" width="12.33203125" bestFit="1" customWidth="1"/>
    <col min="25" max="25" width="15.1640625" bestFit="1" customWidth="1"/>
    <col min="26" max="26" width="8.1640625" bestFit="1" customWidth="1"/>
  </cols>
  <sheetData>
    <row r="1" spans="1:26" ht="19" x14ac:dyDescent="0.25">
      <c r="A1" s="3" t="s">
        <v>366</v>
      </c>
    </row>
    <row r="2" spans="1:26" ht="19" x14ac:dyDescent="0.25">
      <c r="A2" s="3"/>
    </row>
    <row r="3" spans="1:26" x14ac:dyDescent="0.2">
      <c r="C3" t="s">
        <v>329</v>
      </c>
      <c r="G3" t="s">
        <v>315</v>
      </c>
      <c r="K3" t="s">
        <v>316</v>
      </c>
      <c r="O3" t="s">
        <v>317</v>
      </c>
      <c r="S3" t="s">
        <v>318</v>
      </c>
      <c r="W3" t="s">
        <v>319</v>
      </c>
    </row>
    <row r="4" spans="1:26" x14ac:dyDescent="0.2">
      <c r="C4" s="35">
        <f>'Price Inputs'!E4</f>
        <v>44260</v>
      </c>
      <c r="E4" s="6"/>
      <c r="F4" s="6"/>
      <c r="G4" s="6">
        <f>C4+7</f>
        <v>44267</v>
      </c>
      <c r="I4" s="6"/>
      <c r="J4" s="6"/>
      <c r="K4" s="6">
        <f>G4+7</f>
        <v>44274</v>
      </c>
      <c r="M4" s="6"/>
      <c r="N4" s="6"/>
      <c r="O4" s="6">
        <f>K4+7</f>
        <v>44281</v>
      </c>
      <c r="Q4" s="6"/>
      <c r="R4" s="6"/>
      <c r="S4" s="6">
        <f t="shared" ref="S4" si="0">O4+7</f>
        <v>44288</v>
      </c>
      <c r="V4" s="6"/>
      <c r="W4" s="6">
        <f>S4+7</f>
        <v>44295</v>
      </c>
      <c r="Y4" s="6"/>
      <c r="Z4" s="6"/>
    </row>
    <row r="5" spans="1:26" x14ac:dyDescent="0.2">
      <c r="B5" s="6" t="s">
        <v>228</v>
      </c>
      <c r="C5" s="15">
        <f>SUM(E8:E38)</f>
        <v>1000000</v>
      </c>
      <c r="F5" s="6"/>
      <c r="G5" s="15">
        <f>SUM(I8:I38)</f>
        <v>1017370.3500000001</v>
      </c>
      <c r="I5" s="6"/>
      <c r="J5" s="6"/>
      <c r="K5" s="62">
        <f>SUM(M8:M38)</f>
        <v>1017348.8899999999</v>
      </c>
      <c r="M5" s="6"/>
      <c r="N5" s="6"/>
      <c r="O5" s="15">
        <f>SUM(Q8:Q38)</f>
        <v>1015937</v>
      </c>
      <c r="Q5" s="6"/>
      <c r="R5" s="6"/>
      <c r="S5" s="15">
        <f>SUM(U8:U38)</f>
        <v>1018549.53</v>
      </c>
      <c r="W5" s="15">
        <f>SUM(Y8:Y38)</f>
        <v>1031468.11</v>
      </c>
    </row>
    <row r="6" spans="1:26" x14ac:dyDescent="0.2">
      <c r="C6" s="224" t="s">
        <v>153</v>
      </c>
      <c r="D6" s="153" t="s">
        <v>188</v>
      </c>
      <c r="E6" s="153" t="s">
        <v>155</v>
      </c>
      <c r="F6" s="154" t="s">
        <v>168</v>
      </c>
      <c r="G6" s="211" t="str">
        <f t="shared" ref="G6:Z6" si="1">C6</f>
        <v># of Shares</v>
      </c>
      <c r="H6" s="212" t="str">
        <f t="shared" si="1"/>
        <v>Price</v>
      </c>
      <c r="I6" s="212" t="str">
        <f t="shared" si="1"/>
        <v>Market Value</v>
      </c>
      <c r="J6" s="213" t="str">
        <f t="shared" si="1"/>
        <v>Weight</v>
      </c>
      <c r="K6" s="224" t="str">
        <f t="shared" si="1"/>
        <v># of Shares</v>
      </c>
      <c r="L6" s="153" t="str">
        <f t="shared" si="1"/>
        <v>Price</v>
      </c>
      <c r="M6" s="153" t="str">
        <f t="shared" si="1"/>
        <v>Market Value</v>
      </c>
      <c r="N6" s="154" t="str">
        <f t="shared" si="1"/>
        <v>Weight</v>
      </c>
      <c r="O6" s="19" t="str">
        <f t="shared" si="1"/>
        <v># of Shares</v>
      </c>
      <c r="P6" s="19" t="str">
        <f t="shared" si="1"/>
        <v>Price</v>
      </c>
      <c r="Q6" s="19" t="str">
        <f t="shared" si="1"/>
        <v>Market Value</v>
      </c>
      <c r="R6" s="19" t="str">
        <f t="shared" si="1"/>
        <v>Weight</v>
      </c>
      <c r="S6" s="224" t="str">
        <f t="shared" si="1"/>
        <v># of Shares</v>
      </c>
      <c r="T6" s="153" t="str">
        <f t="shared" si="1"/>
        <v>Price</v>
      </c>
      <c r="U6" s="153" t="str">
        <f t="shared" si="1"/>
        <v>Market Value</v>
      </c>
      <c r="V6" s="154" t="str">
        <f t="shared" si="1"/>
        <v>Weight</v>
      </c>
      <c r="W6" s="211" t="str">
        <f t="shared" si="1"/>
        <v># of Shares</v>
      </c>
      <c r="X6" s="212" t="str">
        <f t="shared" si="1"/>
        <v>Price</v>
      </c>
      <c r="Y6" s="212" t="str">
        <f t="shared" si="1"/>
        <v>Market Value</v>
      </c>
      <c r="Z6" s="213" t="str">
        <f t="shared" si="1"/>
        <v>Weight</v>
      </c>
    </row>
    <row r="7" spans="1:26" x14ac:dyDescent="0.2">
      <c r="B7" t="s">
        <v>150</v>
      </c>
      <c r="C7" s="155"/>
      <c r="D7" s="72"/>
      <c r="E7" s="72"/>
      <c r="F7" s="163"/>
      <c r="G7" s="214"/>
      <c r="H7" s="215"/>
      <c r="I7" s="215"/>
      <c r="J7" s="216"/>
      <c r="K7" s="155"/>
      <c r="L7" s="72"/>
      <c r="M7" s="72"/>
      <c r="N7" s="163"/>
      <c r="O7" s="19"/>
      <c r="P7" s="19"/>
      <c r="Q7" s="19"/>
      <c r="R7" s="19"/>
      <c r="S7" s="155"/>
      <c r="T7" s="72"/>
      <c r="U7" s="72"/>
      <c r="V7" s="163"/>
      <c r="W7" s="214"/>
      <c r="X7" s="215"/>
      <c r="Y7" s="215"/>
      <c r="Z7" s="216"/>
    </row>
    <row r="8" spans="1:26" x14ac:dyDescent="0.2">
      <c r="A8">
        <v>1</v>
      </c>
      <c r="B8" t="str">
        <f>'Current Portfolio'!$D$10</f>
        <v>Cash</v>
      </c>
      <c r="C8" s="307">
        <f>Initial_Cash+Extra_Cash+SUMIFS(Trades!$O$9:$O$17,Trades!$K$9:$K$17,"&lt;="&amp;HLOOKUP(C3,'Portfolio Bucket'!$D$1:$I$2,2,FALSE))+SUMIFS(Trades!$O$32:$O$59,Trades!$K$32:$K$59,"&lt;="&amp;HLOOKUP(C3,'Portfolio Bucket'!$D$1:$I$2,2,FALSE))+SUMIFS(Trades!$O$32:$O$59,Trades!$M$32:$M$59,"&lt;="&amp;HLOOKUP(C3,'Portfolio Bucket'!$D$1:$I$2,2,FALSE))</f>
        <v>1000000</v>
      </c>
      <c r="D8" s="226">
        <v>1</v>
      </c>
      <c r="E8" s="227">
        <f>C8*D8</f>
        <v>1000000</v>
      </c>
      <c r="F8" s="311">
        <f t="shared" ref="F8:F38" si="2">IF($B8="",0,E8/$C$5)</f>
        <v>1</v>
      </c>
      <c r="G8" s="307">
        <f>Initial_Cash+Extra_Cash+SUMIFS(Trades!$O$9:$O$17,Trades!$K$9:$K$17,"&lt;="&amp;HLOOKUP(G3,'Portfolio Bucket'!$D$1:$I$2,2,FALSE))+SUMIFS(Trades!$O$32:$O$59,Trades!$K$32:$K$59,"&lt;="&amp;HLOOKUP(G3,'Portfolio Bucket'!$D$1:$I$2,2,FALSE))+SUMIFS(Trades!$O$32:$O$59,Trades!$M$32:$M$59,"&lt;="&amp;HLOOKUP(G3,'Portfolio Bucket'!$D$1:$I$2,2,FALSE))</f>
        <v>10033.349999999977</v>
      </c>
      <c r="H8" s="218">
        <v>1</v>
      </c>
      <c r="I8" s="219">
        <f>G8*H8</f>
        <v>10033.349999999977</v>
      </c>
      <c r="J8" s="220">
        <f>IF($B8="",0,I8/$G$5)</f>
        <v>9.8620428637417792E-3</v>
      </c>
      <c r="K8" s="225">
        <f>Initial_Cash+Extra_Cash+SUMIFS(Trades!$O$9:$O$17,Trades!$K$9:$K$17,"&lt;="&amp;HLOOKUP(K3,'Portfolio Bucket'!$D$1:$I$2,2,FALSE))+SUMIFS(Trades!$O$32:$O$59,Trades!$K$32:$K$59,"&lt;="&amp;HLOOKUP(K3,'Portfolio Bucket'!$D$1:$I$2,2,FALSE))+SUMIFS(Trades!$O$32:$O$59,Trades!$M$32:$M$59,"&lt;="&amp;HLOOKUP(K3,'Portfolio Bucket'!$D$1:$I$2,2,FALSE))</f>
        <v>10025.549999999988</v>
      </c>
      <c r="L8" s="226">
        <v>1</v>
      </c>
      <c r="M8" s="227">
        <f>K8*L8</f>
        <v>10025.549999999988</v>
      </c>
      <c r="N8" s="228">
        <f>IF($B8="",0,M8/$K$5)</f>
        <v>9.8545839077880046E-3</v>
      </c>
      <c r="O8" s="225">
        <f>Initial_Cash+Extra_Cash+SUMIFS(Trades!$O$9:$O$17,Trades!$K$9:$K$17,"&lt;="&amp;HLOOKUP(O3,'Portfolio Bucket'!$D$1:$I$2,2,FALSE))+SUMIFS(Trades!$O$32:$O$59,Trades!$K$32:$K$59,"&lt;="&amp;HLOOKUP(O3,'Portfolio Bucket'!$D$1:$I$2,2,FALSE))+SUMIFS(Trades!$O$32:$O$59,Trades!$M$32:$M$59,"&lt;="&amp;HLOOKUP(O3,'Portfolio Bucket'!$D$1:$I$2,2,FALSE))</f>
        <v>10025.549999999988</v>
      </c>
      <c r="P8" s="218">
        <v>1</v>
      </c>
      <c r="Q8" s="219">
        <f>O8*P8</f>
        <v>10025.549999999988</v>
      </c>
      <c r="R8" s="312">
        <f>IF($B8="",0,Q8/$O$5)</f>
        <v>9.8682792338501187E-3</v>
      </c>
      <c r="S8" s="225">
        <f>Initial_Cash+Extra_Cash+SUMIFS(Trades!$O$9:$O$17,Trades!$K$9:$K$17,"&lt;="&amp;HLOOKUP(S3,'Portfolio Bucket'!$D$1:$I$2,2,FALSE))+SUMIFS(Trades!$O$32:$O$59,Trades!$K$32:$K$59,"&lt;="&amp;HLOOKUP(S3,'Portfolio Bucket'!$D$1:$I$2,2,FALSE))+SUMIFS(Trades!$O$32:$O$59,Trades!$M$32:$M$59,"&lt;="&amp;HLOOKUP(S3,'Portfolio Bucket'!$D$1:$I$2,2,FALSE))</f>
        <v>10025.549999999988</v>
      </c>
      <c r="T8" s="226">
        <v>1</v>
      </c>
      <c r="U8" s="227">
        <f>S8*T8</f>
        <v>10025.549999999988</v>
      </c>
      <c r="V8" s="228">
        <f>IF($B8="",0,U8/$S$5)</f>
        <v>9.8429675776297177E-3</v>
      </c>
      <c r="W8" s="217">
        <f>Initial_Cash+Extra_Cash+SUMIFS(Trades!$O$9:$O$17,Trades!$K$9:$K$17,"&lt;="&amp;HLOOKUP(W3,'Portfolio Bucket'!$D$1:$I$2,2,FALSE))+SUMIFS(Trades!$O$32:$O$59,Trades!$K$32:$K$59,"&lt;="&amp;HLOOKUP(W3,'Portfolio Bucket'!$D$1:$I$2,2,FALSE))+SUMIFS(Trades!$O$32:$O$59,Trades!$M$32:$M$59,"&lt;="&amp;HLOOKUP(W3,'Portfolio Bucket'!$D$1:$I$2,2,FALSE))</f>
        <v>10025.549999999988</v>
      </c>
      <c r="X8" s="218">
        <v>1</v>
      </c>
      <c r="Y8" s="219">
        <f>W8*X8</f>
        <v>10025.549999999988</v>
      </c>
      <c r="Z8" s="220">
        <f>IF($B8="",0,Y8/$W$5)</f>
        <v>9.7196897342759232E-3</v>
      </c>
    </row>
    <row r="9" spans="1:26" x14ac:dyDescent="0.2">
      <c r="A9">
        <v>2</v>
      </c>
      <c r="B9" t="str">
        <f>'Current Portfolio'!C11</f>
        <v>BWX</v>
      </c>
      <c r="C9" s="307">
        <f>IF(B9="","",INDEX('Portfolio Bucket'!$C$2:$I$69,MATCH(B9,'Portfolio Bucket'!$C$2:$C$69,0),MATCH($C$4,'Portfolio Bucket'!$C$2:$I$2,0)))</f>
        <v>0</v>
      </c>
      <c r="D9" s="226">
        <f>INDEX('Price Inputs'!$C$4:$J$49,MATCH($B9,'Price Inputs'!$C$4:$C$49,0),MATCH(C$4,'Price Inputs'!$C$4:$J$4,0))</f>
        <v>29.61</v>
      </c>
      <c r="E9" s="227">
        <f t="shared" ref="E9:E38" si="3">IF($B9="","",C9*D9)</f>
        <v>0</v>
      </c>
      <c r="F9" s="311">
        <f t="shared" si="2"/>
        <v>0</v>
      </c>
      <c r="G9" s="308">
        <f>IF($B9="","",INDEX('Portfolio Bucket'!$C$2:$I$69,MATCH($B9,'Portfolio Bucket'!$C$2:$C$69,0),MATCH($G$4,'Portfolio Bucket'!$C$2:$I$2,0)))</f>
        <v>10132</v>
      </c>
      <c r="H9" s="218">
        <f>INDEX('Price Inputs'!$C$4:$J$49,MATCH($B9,'Price Inputs'!$C$4:$C$49,0),MATCH(G$4,'Price Inputs'!$C$4:$J$4,0))</f>
        <v>29.65</v>
      </c>
      <c r="I9" s="219">
        <f t="shared" ref="I9:I38" si="4">IF($B9="","",G9*H9)</f>
        <v>300413.8</v>
      </c>
      <c r="J9" s="220">
        <f t="shared" ref="J9:J38" si="5">IF($B9="",0,I9/$G$5)</f>
        <v>0.29528460309463506</v>
      </c>
      <c r="K9" s="225">
        <f>IF($B9="","",INDEX('Portfolio Bucket'!$C$2:$I$69,MATCH($B9,'Portfolio Bucket'!$C$2:$C$69,0),MATCH($K$4,'Portfolio Bucket'!$C$2:$I$2,0)))</f>
        <v>10132</v>
      </c>
      <c r="L9" s="226">
        <f>INDEX('Price Inputs'!$C$4:$J$49,MATCH($B9,'Price Inputs'!$C$4:$C$49,0),MATCH(K$4,'Price Inputs'!$C$4:$J$4,0))</f>
        <v>29.58</v>
      </c>
      <c r="M9" s="227">
        <f t="shared" ref="M9:M38" si="6">IF($B9="","",K9*L9)</f>
        <v>299704.56</v>
      </c>
      <c r="N9" s="228">
        <f t="shared" ref="N9:N38" si="7">IF($B9="",0,M9/$K$5)</f>
        <v>0.29459368653756535</v>
      </c>
      <c r="O9" s="308">
        <f>IF($B9="","",INDEX('Portfolio Bucket'!$C$2:$I$69,MATCH($B9,'Portfolio Bucket'!$C$2:$C$69,0),MATCH($O$4,'Portfolio Bucket'!$C$2:$I$2,0)))</f>
        <v>10132</v>
      </c>
      <c r="P9" s="218">
        <f>INDEX('Price Inputs'!$C$4:$J$49,MATCH($B9,'Price Inputs'!$C$4:$C$49,0),MATCH(O$4,'Price Inputs'!$C$4:$J$4,0))</f>
        <v>29.46</v>
      </c>
      <c r="Q9" s="219">
        <f t="shared" ref="Q9:Q38" si="8">IF($B9="","",O9*P9)</f>
        <v>298488.72000000003</v>
      </c>
      <c r="R9" s="312">
        <f t="shared" ref="R9:R38" si="9">IF($B9="",0,Q9/$O$5)</f>
        <v>0.29380632854202576</v>
      </c>
      <c r="S9" s="225">
        <f>IF($B9="","",INDEX('Portfolio Bucket'!$C$2:$I$69,MATCH($B9,'Portfolio Bucket'!$C$2:$C$69,0),MATCH($S$4,'Portfolio Bucket'!$C$2:$I$2,0)))</f>
        <v>10132</v>
      </c>
      <c r="T9" s="226">
        <f>INDEX('Price Inputs'!$C$4:$J$49,MATCH($B9,'Price Inputs'!$C$4:$C$49,0),MATCH(S$4,'Price Inputs'!$C$4:$J$4,0))</f>
        <v>29.28</v>
      </c>
      <c r="U9" s="227">
        <f t="shared" ref="U9:U38" si="10">IF($B9="","",S9*T9)</f>
        <v>296664.96000000002</v>
      </c>
      <c r="V9" s="228">
        <f t="shared" ref="V9:V38" si="11">IF($B9="",0,U9/$S$5)</f>
        <v>0.29126218339131726</v>
      </c>
      <c r="W9" s="217">
        <f>IF($B9="","",INDEX('Portfolio Bucket'!$C$2:$I$69,MATCH($B9,'Portfolio Bucket'!$C$2:$C$69,0),MATCH($W$4,'Portfolio Bucket'!$C$2:$I$2,0)))</f>
        <v>10132</v>
      </c>
      <c r="X9" s="218">
        <f>INDEX('Price Inputs'!$C$4:$J$49,MATCH($B9,'Price Inputs'!$C$4:$C$49,0),MATCH(W$4,'Price Inputs'!$C$4:$J$4,0))</f>
        <v>29.55</v>
      </c>
      <c r="Y9" s="219">
        <f t="shared" ref="Y9:Y38" si="12">IF($B9="","",W9*X9)</f>
        <v>299400.60000000003</v>
      </c>
      <c r="Z9" s="220">
        <f t="shared" ref="Z9:Z38" si="13">IF($B9="",0,Y9/$W$5)</f>
        <v>0.29026646301260833</v>
      </c>
    </row>
    <row r="10" spans="1:26" x14ac:dyDescent="0.2">
      <c r="A10">
        <v>3</v>
      </c>
      <c r="B10" t="str">
        <f>'Current Portfolio'!C12</f>
        <v>EZU</v>
      </c>
      <c r="C10" s="307">
        <f>IF(B10="","",INDEX('Portfolio Bucket'!$C$2:$I$69,MATCH(B10,'Portfolio Bucket'!$C$2:$C$69,0),MATCH($C$4,'Portfolio Bucket'!$C$2:$I$2,0)))</f>
        <v>0</v>
      </c>
      <c r="D10" s="226">
        <f>INDEX('Price Inputs'!$C$4:$J$49,MATCH($B10,'Price Inputs'!$C$4:$C$49,0),MATCH(C$4,'Price Inputs'!$C$4:$J$4,0))</f>
        <v>0</v>
      </c>
      <c r="E10" s="227">
        <f t="shared" si="3"/>
        <v>0</v>
      </c>
      <c r="F10" s="311">
        <f t="shared" si="2"/>
        <v>0</v>
      </c>
      <c r="G10" s="308">
        <f>IF($B10="","",INDEX('Portfolio Bucket'!$C$2:$I$69,MATCH($B10,'Portfolio Bucket'!$C$2:$C$69,0),MATCH($G$4,'Portfolio Bucket'!$C$2:$I$2,0)))</f>
        <v>0</v>
      </c>
      <c r="H10" s="218">
        <f>INDEX('Price Inputs'!$C$4:$J$49,MATCH($B10,'Price Inputs'!$C$4:$C$49,0),MATCH(G$4,'Price Inputs'!$C$4:$J$4,0))</f>
        <v>46.55</v>
      </c>
      <c r="I10" s="219">
        <f t="shared" si="4"/>
        <v>0</v>
      </c>
      <c r="J10" s="220">
        <f t="shared" si="5"/>
        <v>0</v>
      </c>
      <c r="K10" s="225">
        <f>IF($B10="","",INDEX('Portfolio Bucket'!$C$2:$I$69,MATCH($B10,'Portfolio Bucket'!$C$2:$C$69,0),MATCH($K$4,'Portfolio Bucket'!$C$2:$I$2,0)))</f>
        <v>4231</v>
      </c>
      <c r="L10" s="226">
        <f>INDEX('Price Inputs'!$C$4:$J$49,MATCH($B10,'Price Inputs'!$C$4:$C$49,0),MATCH(K$4,'Price Inputs'!$C$4:$J$4,0))</f>
        <v>46.2</v>
      </c>
      <c r="M10" s="227">
        <f t="shared" si="6"/>
        <v>195472.2</v>
      </c>
      <c r="N10" s="228">
        <f t="shared" si="7"/>
        <v>0.19213880500719868</v>
      </c>
      <c r="O10" s="308">
        <f>IF($B10="","",INDEX('Portfolio Bucket'!$C$2:$I$69,MATCH($B10,'Portfolio Bucket'!$C$2:$C$69,0),MATCH($O$4,'Portfolio Bucket'!$C$2:$I$2,0)))</f>
        <v>4231</v>
      </c>
      <c r="P10" s="218">
        <f>INDEX('Price Inputs'!$C$4:$J$49,MATCH($B10,'Price Inputs'!$C$4:$C$49,0),MATCH(O$4,'Price Inputs'!$C$4:$J$4,0))</f>
        <v>46.48</v>
      </c>
      <c r="Q10" s="219">
        <f t="shared" si="8"/>
        <v>196656.87999999998</v>
      </c>
      <c r="R10" s="312">
        <f t="shared" si="9"/>
        <v>0.19357192424333397</v>
      </c>
      <c r="S10" s="225">
        <f>IF($B10="","",INDEX('Portfolio Bucket'!$C$2:$I$69,MATCH($B10,'Portfolio Bucket'!$C$2:$C$69,0),MATCH($S$4,'Portfolio Bucket'!$C$2:$I$2,0)))</f>
        <v>4231</v>
      </c>
      <c r="T10" s="226">
        <f>INDEX('Price Inputs'!$C$4:$J$49,MATCH($B10,'Price Inputs'!$C$4:$C$49,0),MATCH(S$4,'Price Inputs'!$C$4:$J$4,0))</f>
        <v>47.21</v>
      </c>
      <c r="U10" s="227">
        <f t="shared" si="10"/>
        <v>199745.51</v>
      </c>
      <c r="V10" s="228">
        <f t="shared" si="11"/>
        <v>0.19610780243548884</v>
      </c>
      <c r="W10" s="217">
        <f>IF($B10="","",INDEX('Portfolio Bucket'!$C$2:$I$69,MATCH($B10,'Portfolio Bucket'!$C$2:$C$69,0),MATCH($W$4,'Portfolio Bucket'!$C$2:$I$2,0)))</f>
        <v>4231</v>
      </c>
      <c r="X10" s="218">
        <f>INDEX('Price Inputs'!$C$4:$J$49,MATCH($B10,'Price Inputs'!$C$4:$C$49,0),MATCH(W$4,'Price Inputs'!$C$4:$J$4,0))</f>
        <v>47.93</v>
      </c>
      <c r="Y10" s="219">
        <f t="shared" si="12"/>
        <v>202791.83</v>
      </c>
      <c r="Z10" s="220">
        <f t="shared" si="13"/>
        <v>0.1966050409449886</v>
      </c>
    </row>
    <row r="11" spans="1:26" x14ac:dyDescent="0.2">
      <c r="A11">
        <v>4</v>
      </c>
      <c r="B11" t="str">
        <f>'Current Portfolio'!C13</f>
        <v>IAU</v>
      </c>
      <c r="C11" s="307">
        <f>IF(B11="","",INDEX('Portfolio Bucket'!$C$2:$I$69,MATCH(B11,'Portfolio Bucket'!$C$2:$C$69,0),MATCH($C$4,'Portfolio Bucket'!$C$2:$I$2,0)))</f>
        <v>0</v>
      </c>
      <c r="D11" s="226">
        <f>INDEX('Price Inputs'!$C$4:$J$49,MATCH($B11,'Price Inputs'!$C$4:$C$49,0),MATCH(C$4,'Price Inputs'!$C$4:$J$4,0))</f>
        <v>16.18</v>
      </c>
      <c r="E11" s="227">
        <f t="shared" si="3"/>
        <v>0</v>
      </c>
      <c r="F11" s="311">
        <f t="shared" si="2"/>
        <v>0</v>
      </c>
      <c r="G11" s="308">
        <f>IF($B11="","",INDEX('Portfolio Bucket'!$C$2:$I$69,MATCH($B11,'Portfolio Bucket'!$C$2:$C$69,0),MATCH($G$4,'Portfolio Bucket'!$C$2:$I$2,0)))</f>
        <v>21014</v>
      </c>
      <c r="H11" s="218">
        <f>INDEX('Price Inputs'!$C$4:$J$49,MATCH($B11,'Price Inputs'!$C$4:$C$49,0),MATCH(G$4,'Price Inputs'!$C$4:$J$4,0))</f>
        <v>16.440000000000001</v>
      </c>
      <c r="I11" s="219">
        <f t="shared" si="4"/>
        <v>345470.16000000003</v>
      </c>
      <c r="J11" s="220">
        <f t="shared" si="5"/>
        <v>0.33957168105007191</v>
      </c>
      <c r="K11" s="225">
        <f>IF($B11="","",INDEX('Portfolio Bucket'!$C$2:$I$69,MATCH($B11,'Portfolio Bucket'!$C$2:$C$69,0),MATCH($K$4,'Portfolio Bucket'!$C$2:$I$2,0)))</f>
        <v>21014</v>
      </c>
      <c r="L11" s="226">
        <f>INDEX('Price Inputs'!$C$4:$J$49,MATCH($B11,'Price Inputs'!$C$4:$C$49,0),MATCH(K$4,'Price Inputs'!$C$4:$J$4,0))</f>
        <v>16.61</v>
      </c>
      <c r="M11" s="227">
        <f t="shared" si="6"/>
        <v>349042.54</v>
      </c>
      <c r="N11" s="228">
        <f t="shared" si="7"/>
        <v>0.34309030405488528</v>
      </c>
      <c r="O11" s="308">
        <f>IF($B11="","",INDEX('Portfolio Bucket'!$C$2:$I$69,MATCH($B11,'Portfolio Bucket'!$C$2:$C$69,0),MATCH($O$4,'Portfolio Bucket'!$C$2:$I$2,0)))</f>
        <v>21014</v>
      </c>
      <c r="P11" s="218">
        <f>INDEX('Price Inputs'!$C$4:$J$49,MATCH($B11,'Price Inputs'!$C$4:$C$49,0),MATCH(O$4,'Price Inputs'!$C$4:$J$4,0))</f>
        <v>16.5</v>
      </c>
      <c r="Q11" s="219">
        <f t="shared" si="8"/>
        <v>346731</v>
      </c>
      <c r="R11" s="312">
        <f t="shared" si="9"/>
        <v>0.34129183207226432</v>
      </c>
      <c r="S11" s="225">
        <f>IF($B11="","",INDEX('Portfolio Bucket'!$C$2:$I$69,MATCH($B11,'Portfolio Bucket'!$C$2:$C$69,0),MATCH($S$4,'Portfolio Bucket'!$C$2:$I$2,0)))</f>
        <v>21014</v>
      </c>
      <c r="T11" s="226">
        <f>INDEX('Price Inputs'!$C$4:$J$49,MATCH($B11,'Price Inputs'!$C$4:$C$49,0),MATCH(S$4,'Price Inputs'!$C$4:$J$4,0))</f>
        <v>16.46</v>
      </c>
      <c r="U11" s="227">
        <f t="shared" si="10"/>
        <v>345890.44</v>
      </c>
      <c r="V11" s="228">
        <f t="shared" si="11"/>
        <v>0.33959118316023373</v>
      </c>
      <c r="W11" s="217">
        <f>IF($B11="","",INDEX('Portfolio Bucket'!$C$2:$I$69,MATCH($B11,'Portfolio Bucket'!$C$2:$C$69,0),MATCH($W$4,'Portfolio Bucket'!$C$2:$I$2,0)))</f>
        <v>21014</v>
      </c>
      <c r="X11" s="218">
        <f>INDEX('Price Inputs'!$C$4:$J$49,MATCH($B11,'Price Inputs'!$C$4:$C$49,0),MATCH(W$4,'Price Inputs'!$C$4:$J$4,0))</f>
        <v>16.61</v>
      </c>
      <c r="Y11" s="219">
        <f t="shared" si="12"/>
        <v>349042.54</v>
      </c>
      <c r="Z11" s="220">
        <f t="shared" si="13"/>
        <v>0.338393922813571</v>
      </c>
    </row>
    <row r="12" spans="1:26" x14ac:dyDescent="0.2">
      <c r="A12">
        <v>5</v>
      </c>
      <c r="B12" t="str">
        <f>'Current Portfolio'!C14</f>
        <v>VTI</v>
      </c>
      <c r="C12" s="307">
        <f>IF(B12="","",INDEX('Portfolio Bucket'!$C$2:$I$69,MATCH(B12,'Portfolio Bucket'!$C$2:$C$69,0),MATCH($C$4,'Portfolio Bucket'!$C$2:$I$2,0)))</f>
        <v>0</v>
      </c>
      <c r="D12" s="226">
        <f>INDEX('Price Inputs'!$C$4:$J$49,MATCH($B12,'Price Inputs'!$C$4:$C$49,0),MATCH(C$4,'Price Inputs'!$C$4:$J$4,0))</f>
        <v>97.67</v>
      </c>
      <c r="E12" s="227">
        <f t="shared" si="3"/>
        <v>0</v>
      </c>
      <c r="F12" s="311">
        <f t="shared" si="2"/>
        <v>0</v>
      </c>
      <c r="G12" s="308">
        <f>IF($B12="","",INDEX('Portfolio Bucket'!$C$2:$I$69,MATCH($B12,'Portfolio Bucket'!$C$2:$C$69,0),MATCH($G$4,'Portfolio Bucket'!$C$2:$I$2,0)))</f>
        <v>3583</v>
      </c>
      <c r="H12" s="218">
        <f>INDEX('Price Inputs'!$C$4:$J$49,MATCH($B12,'Price Inputs'!$C$4:$C$49,0),MATCH(G$4,'Price Inputs'!$C$4:$J$4,0))</f>
        <v>100.88</v>
      </c>
      <c r="I12" s="219">
        <f t="shared" si="4"/>
        <v>361453.04</v>
      </c>
      <c r="J12" s="220">
        <f t="shared" si="5"/>
        <v>0.35528167299155117</v>
      </c>
      <c r="K12" s="225">
        <f>IF($B12="","",INDEX('Portfolio Bucket'!$C$2:$I$69,MATCH($B12,'Portfolio Bucket'!$C$2:$C$69,0),MATCH($K$4,'Portfolio Bucket'!$C$2:$I$2,0)))</f>
        <v>1633</v>
      </c>
      <c r="L12" s="226">
        <f>INDEX('Price Inputs'!$C$4:$J$49,MATCH($B12,'Price Inputs'!$C$4:$C$49,0),MATCH(K$4,'Price Inputs'!$C$4:$J$4,0))</f>
        <v>99.88</v>
      </c>
      <c r="M12" s="227">
        <f t="shared" si="6"/>
        <v>163104.03999999998</v>
      </c>
      <c r="N12" s="228">
        <f t="shared" si="7"/>
        <v>0.16032262049256277</v>
      </c>
      <c r="O12" s="308">
        <f>IF($B12="","",INDEX('Portfolio Bucket'!$C$2:$I$69,MATCH($B12,'Portfolio Bucket'!$C$2:$C$69,0),MATCH($O$4,'Portfolio Bucket'!$C$2:$I$2,0)))</f>
        <v>1633</v>
      </c>
      <c r="P12" s="218">
        <f>INDEX('Price Inputs'!$C$4:$J$49,MATCH($B12,'Price Inputs'!$C$4:$C$49,0),MATCH(O$4,'Price Inputs'!$C$4:$J$4,0))</f>
        <v>100.45</v>
      </c>
      <c r="Q12" s="219">
        <f t="shared" si="8"/>
        <v>164034.85</v>
      </c>
      <c r="R12" s="312">
        <f t="shared" si="9"/>
        <v>0.16146163590852583</v>
      </c>
      <c r="S12" s="225">
        <f>IF($B12="","",INDEX('Portfolio Bucket'!$C$2:$I$69,MATCH($B12,'Portfolio Bucket'!$C$2:$C$69,0),MATCH($S$4,'Portfolio Bucket'!$C$2:$I$2,0)))</f>
        <v>1633</v>
      </c>
      <c r="T12" s="226">
        <f>INDEX('Price Inputs'!$C$4:$J$49,MATCH($B12,'Price Inputs'!$C$4:$C$49,0),MATCH(S$4,'Price Inputs'!$C$4:$J$4,0))</f>
        <v>101.79</v>
      </c>
      <c r="U12" s="227">
        <f t="shared" si="10"/>
        <v>166223.07</v>
      </c>
      <c r="V12" s="228">
        <f t="shared" si="11"/>
        <v>0.16319586343533043</v>
      </c>
      <c r="W12" s="217">
        <f>IF($B12="","",INDEX('Portfolio Bucket'!$C$2:$I$69,MATCH($B12,'Portfolio Bucket'!$C$2:$C$69,0),MATCH($W$4,'Portfolio Bucket'!$C$2:$I$2,0)))</f>
        <v>1633</v>
      </c>
      <c r="X12" s="218">
        <f>INDEX('Price Inputs'!$C$4:$J$49,MATCH($B12,'Price Inputs'!$C$4:$C$49,0),MATCH(W$4,'Price Inputs'!$C$4:$J$4,0))</f>
        <v>104.23</v>
      </c>
      <c r="Y12" s="219">
        <f t="shared" si="12"/>
        <v>170207.59</v>
      </c>
      <c r="Z12" s="220">
        <f t="shared" si="13"/>
        <v>0.16501488349455612</v>
      </c>
    </row>
    <row r="13" spans="1:26" x14ac:dyDescent="0.2">
      <c r="A13">
        <v>6</v>
      </c>
      <c r="B13" t="str">
        <f>'Current Portfolio'!C15</f>
        <v/>
      </c>
      <c r="C13" s="307" t="str">
        <f>IF(B13="","",INDEX('Portfolio Bucket'!$C$2:$I$69,MATCH(B13,'Portfolio Bucket'!$C$2:$C$69,0),MATCH($C$4,'Portfolio Bucket'!$C$2:$I$2,0)))</f>
        <v/>
      </c>
      <c r="D13" s="226" t="str">
        <f>INDEX('Price Inputs'!$C$4:$J$49,MATCH($B13,'Price Inputs'!$C$4:$C$49,0),MATCH(C$4,'Price Inputs'!$C$4:$J$4,0))</f>
        <v/>
      </c>
      <c r="E13" s="227" t="str">
        <f t="shared" si="3"/>
        <v/>
      </c>
      <c r="F13" s="311">
        <f t="shared" si="2"/>
        <v>0</v>
      </c>
      <c r="G13" s="308" t="str">
        <f>IF($B13="","",INDEX('Portfolio Bucket'!$C$2:$I$69,MATCH($B13,'Portfolio Bucket'!$C$2:$C$69,0),MATCH($G$4,'Portfolio Bucket'!$C$2:$I$2,0)))</f>
        <v/>
      </c>
      <c r="H13" s="218">
        <f>INDEX('Price Inputs'!$C$4:$J$49,MATCH($B13,'Price Inputs'!$C$4:$C$49,0),MATCH(G$4,'Price Inputs'!$C$4:$J$4,0))</f>
        <v>0</v>
      </c>
      <c r="I13" s="219" t="str">
        <f t="shared" si="4"/>
        <v/>
      </c>
      <c r="J13" s="220">
        <f t="shared" si="5"/>
        <v>0</v>
      </c>
      <c r="K13" s="225" t="str">
        <f>IF($B13="","",INDEX('Portfolio Bucket'!$C$2:$I$69,MATCH($B13,'Portfolio Bucket'!$C$2:$C$69,0),MATCH($K$4,'Portfolio Bucket'!$C$2:$I$2,0)))</f>
        <v/>
      </c>
      <c r="L13" s="226">
        <f>INDEX('Price Inputs'!$C$4:$J$49,MATCH($B13,'Price Inputs'!$C$4:$C$49,0),MATCH(K$4,'Price Inputs'!$C$4:$J$4,0))</f>
        <v>0</v>
      </c>
      <c r="M13" s="227" t="str">
        <f t="shared" si="6"/>
        <v/>
      </c>
      <c r="N13" s="228">
        <f t="shared" si="7"/>
        <v>0</v>
      </c>
      <c r="O13" s="308" t="str">
        <f>IF($B13="","",INDEX('Portfolio Bucket'!$C$2:$I$69,MATCH($B13,'Portfolio Bucket'!$C$2:$C$69,0),MATCH($O$4,'Portfolio Bucket'!$C$2:$I$2,0)))</f>
        <v/>
      </c>
      <c r="P13" s="218">
        <f>INDEX('Price Inputs'!$C$4:$J$49,MATCH($B13,'Price Inputs'!$C$4:$C$49,0),MATCH(O$4,'Price Inputs'!$C$4:$J$4,0))</f>
        <v>0</v>
      </c>
      <c r="Q13" s="219" t="str">
        <f t="shared" si="8"/>
        <v/>
      </c>
      <c r="R13" s="312">
        <f t="shared" si="9"/>
        <v>0</v>
      </c>
      <c r="S13" s="225" t="str">
        <f>IF($B13="","",INDEX('Portfolio Bucket'!$C$2:$I$69,MATCH($B13,'Portfolio Bucket'!$C$2:$C$69,0),MATCH($S$4,'Portfolio Bucket'!$C$2:$I$2,0)))</f>
        <v/>
      </c>
      <c r="T13" s="226">
        <f>INDEX('Price Inputs'!$C$4:$J$49,MATCH($B13,'Price Inputs'!$C$4:$C$49,0),MATCH(S$4,'Price Inputs'!$C$4:$J$4,0))</f>
        <v>0</v>
      </c>
      <c r="U13" s="227" t="str">
        <f t="shared" si="10"/>
        <v/>
      </c>
      <c r="V13" s="228">
        <f t="shared" si="11"/>
        <v>0</v>
      </c>
      <c r="W13" s="217" t="str">
        <f>IF($B13="","",INDEX('Portfolio Bucket'!$C$2:$I$69,MATCH($B13,'Portfolio Bucket'!$C$2:$C$69,0),MATCH($W$4,'Portfolio Bucket'!$C$2:$I$2,0)))</f>
        <v/>
      </c>
      <c r="X13" s="218">
        <f>INDEX('Price Inputs'!$C$4:$J$49,MATCH($B13,'Price Inputs'!$C$4:$C$49,0),MATCH(W$4,'Price Inputs'!$C$4:$J$4,0))</f>
        <v>0</v>
      </c>
      <c r="Y13" s="219" t="str">
        <f t="shared" si="12"/>
        <v/>
      </c>
      <c r="Z13" s="220">
        <f t="shared" si="13"/>
        <v>0</v>
      </c>
    </row>
    <row r="14" spans="1:26" x14ac:dyDescent="0.2">
      <c r="A14">
        <v>7</v>
      </c>
      <c r="B14" t="str">
        <f>'Current Portfolio'!C16</f>
        <v/>
      </c>
      <c r="C14" s="307" t="str">
        <f>IF(B14="","",INDEX('Portfolio Bucket'!$C$2:$I$69,MATCH(B14,'Portfolio Bucket'!$C$2:$C$69,0),MATCH($C$4,'Portfolio Bucket'!$C$2:$I$2,0)))</f>
        <v/>
      </c>
      <c r="D14" s="226" t="str">
        <f>INDEX('Price Inputs'!$C$4:$J$49,MATCH($B14,'Price Inputs'!$C$4:$C$49,0),MATCH(C$4,'Price Inputs'!$C$4:$J$4,0))</f>
        <v/>
      </c>
      <c r="E14" s="227" t="str">
        <f t="shared" si="3"/>
        <v/>
      </c>
      <c r="F14" s="311">
        <f t="shared" si="2"/>
        <v>0</v>
      </c>
      <c r="G14" s="308" t="str">
        <f>IF($B14="","",INDEX('Portfolio Bucket'!$C$2:$I$69,MATCH($B14,'Portfolio Bucket'!$C$2:$C$69,0),MATCH($G$4,'Portfolio Bucket'!$C$2:$I$2,0)))</f>
        <v/>
      </c>
      <c r="H14" s="218">
        <f>INDEX('Price Inputs'!$C$4:$J$49,MATCH($B14,'Price Inputs'!$C$4:$C$49,0),MATCH(G$4,'Price Inputs'!$C$4:$J$4,0))</f>
        <v>0</v>
      </c>
      <c r="I14" s="219" t="str">
        <f t="shared" si="4"/>
        <v/>
      </c>
      <c r="J14" s="220">
        <f t="shared" si="5"/>
        <v>0</v>
      </c>
      <c r="K14" s="225" t="str">
        <f>IF($B14="","",INDEX('Portfolio Bucket'!$C$2:$I$69,MATCH($B14,'Portfolio Bucket'!$C$2:$C$69,0),MATCH($K$4,'Portfolio Bucket'!$C$2:$I$2,0)))</f>
        <v/>
      </c>
      <c r="L14" s="226">
        <f>INDEX('Price Inputs'!$C$4:$J$49,MATCH($B14,'Price Inputs'!$C$4:$C$49,0),MATCH(K$4,'Price Inputs'!$C$4:$J$4,0))</f>
        <v>0</v>
      </c>
      <c r="M14" s="227" t="str">
        <f t="shared" si="6"/>
        <v/>
      </c>
      <c r="N14" s="228">
        <f t="shared" si="7"/>
        <v>0</v>
      </c>
      <c r="O14" s="308" t="str">
        <f>IF($B14="","",INDEX('Portfolio Bucket'!$C$2:$I$69,MATCH($B14,'Portfolio Bucket'!$C$2:$C$69,0),MATCH($O$4,'Portfolio Bucket'!$C$2:$I$2,0)))</f>
        <v/>
      </c>
      <c r="P14" s="218">
        <f>INDEX('Price Inputs'!$C$4:$J$49,MATCH($B14,'Price Inputs'!$C$4:$C$49,0),MATCH(O$4,'Price Inputs'!$C$4:$J$4,0))</f>
        <v>0</v>
      </c>
      <c r="Q14" s="219" t="str">
        <f t="shared" si="8"/>
        <v/>
      </c>
      <c r="R14" s="312">
        <f t="shared" si="9"/>
        <v>0</v>
      </c>
      <c r="S14" s="225" t="str">
        <f>IF($B14="","",INDEX('Portfolio Bucket'!$C$2:$I$69,MATCH($B14,'Portfolio Bucket'!$C$2:$C$69,0),MATCH($S$4,'Portfolio Bucket'!$C$2:$I$2,0)))</f>
        <v/>
      </c>
      <c r="T14" s="226">
        <f>INDEX('Price Inputs'!$C$4:$J$49,MATCH($B14,'Price Inputs'!$C$4:$C$49,0),MATCH(S$4,'Price Inputs'!$C$4:$J$4,0))</f>
        <v>0</v>
      </c>
      <c r="U14" s="227" t="str">
        <f t="shared" si="10"/>
        <v/>
      </c>
      <c r="V14" s="228">
        <f t="shared" si="11"/>
        <v>0</v>
      </c>
      <c r="W14" s="217" t="str">
        <f>IF($B14="","",INDEX('Portfolio Bucket'!$C$2:$I$69,MATCH($B14,'Portfolio Bucket'!$C$2:$C$69,0),MATCH($W$4,'Portfolio Bucket'!$C$2:$I$2,0)))</f>
        <v/>
      </c>
      <c r="X14" s="218">
        <f>INDEX('Price Inputs'!$C$4:$J$49,MATCH($B14,'Price Inputs'!$C$4:$C$49,0),MATCH(W$4,'Price Inputs'!$C$4:$J$4,0))</f>
        <v>0</v>
      </c>
      <c r="Y14" s="219" t="str">
        <f t="shared" si="12"/>
        <v/>
      </c>
      <c r="Z14" s="220">
        <f t="shared" si="13"/>
        <v>0</v>
      </c>
    </row>
    <row r="15" spans="1:26" x14ac:dyDescent="0.2">
      <c r="A15">
        <v>8</v>
      </c>
      <c r="B15" t="str">
        <f>'Current Portfolio'!C17</f>
        <v/>
      </c>
      <c r="C15" s="307" t="str">
        <f>IF(B15="","",INDEX('Portfolio Bucket'!$C$2:$I$69,MATCH(B15,'Portfolio Bucket'!$C$2:$C$69,0),MATCH($C$4,'Portfolio Bucket'!$C$2:$I$2,0)))</f>
        <v/>
      </c>
      <c r="D15" s="226" t="str">
        <f>INDEX('Price Inputs'!$C$4:$J$49,MATCH($B15,'Price Inputs'!$C$4:$C$49,0),MATCH(C$4,'Price Inputs'!$C$4:$J$4,0))</f>
        <v/>
      </c>
      <c r="E15" s="227" t="str">
        <f t="shared" si="3"/>
        <v/>
      </c>
      <c r="F15" s="311">
        <f t="shared" si="2"/>
        <v>0</v>
      </c>
      <c r="G15" s="308" t="str">
        <f>IF($B15="","",INDEX('Portfolio Bucket'!$C$2:$I$69,MATCH($B15,'Portfolio Bucket'!$C$2:$C$69,0),MATCH($G$4,'Portfolio Bucket'!$C$2:$I$2,0)))</f>
        <v/>
      </c>
      <c r="H15" s="218">
        <f>INDEX('Price Inputs'!$C$4:$J$49,MATCH($B15,'Price Inputs'!$C$4:$C$49,0),MATCH(G$4,'Price Inputs'!$C$4:$J$4,0))</f>
        <v>0</v>
      </c>
      <c r="I15" s="219" t="str">
        <f t="shared" si="4"/>
        <v/>
      </c>
      <c r="J15" s="220">
        <f t="shared" si="5"/>
        <v>0</v>
      </c>
      <c r="K15" s="225" t="str">
        <f>IF($B15="","",INDEX('Portfolio Bucket'!$C$2:$I$69,MATCH($B15,'Portfolio Bucket'!$C$2:$C$69,0),MATCH($K$4,'Portfolio Bucket'!$C$2:$I$2,0)))</f>
        <v/>
      </c>
      <c r="L15" s="226">
        <f>INDEX('Price Inputs'!$C$4:$J$49,MATCH($B15,'Price Inputs'!$C$4:$C$49,0),MATCH(K$4,'Price Inputs'!$C$4:$J$4,0))</f>
        <v>0</v>
      </c>
      <c r="M15" s="227" t="str">
        <f t="shared" si="6"/>
        <v/>
      </c>
      <c r="N15" s="228">
        <f t="shared" si="7"/>
        <v>0</v>
      </c>
      <c r="O15" s="308" t="str">
        <f>IF($B15="","",INDEX('Portfolio Bucket'!$C$2:$I$69,MATCH($B15,'Portfolio Bucket'!$C$2:$C$69,0),MATCH($O$4,'Portfolio Bucket'!$C$2:$I$2,0)))</f>
        <v/>
      </c>
      <c r="P15" s="218">
        <f>INDEX('Price Inputs'!$C$4:$J$49,MATCH($B15,'Price Inputs'!$C$4:$C$49,0),MATCH(O$4,'Price Inputs'!$C$4:$J$4,0))</f>
        <v>0</v>
      </c>
      <c r="Q15" s="219" t="str">
        <f t="shared" si="8"/>
        <v/>
      </c>
      <c r="R15" s="312">
        <f t="shared" si="9"/>
        <v>0</v>
      </c>
      <c r="S15" s="225" t="str">
        <f>IF($B15="","",INDEX('Portfolio Bucket'!$C$2:$I$69,MATCH($B15,'Portfolio Bucket'!$C$2:$C$69,0),MATCH($S$4,'Portfolio Bucket'!$C$2:$I$2,0)))</f>
        <v/>
      </c>
      <c r="T15" s="226">
        <f>INDEX('Price Inputs'!$C$4:$J$49,MATCH($B15,'Price Inputs'!$C$4:$C$49,0),MATCH(S$4,'Price Inputs'!$C$4:$J$4,0))</f>
        <v>0</v>
      </c>
      <c r="U15" s="227" t="str">
        <f t="shared" si="10"/>
        <v/>
      </c>
      <c r="V15" s="228">
        <f t="shared" si="11"/>
        <v>0</v>
      </c>
      <c r="W15" s="217" t="str">
        <f>IF($B15="","",INDEX('Portfolio Bucket'!$C$2:$I$69,MATCH($B15,'Portfolio Bucket'!$C$2:$C$69,0),MATCH($W$4,'Portfolio Bucket'!$C$2:$I$2,0)))</f>
        <v/>
      </c>
      <c r="X15" s="218">
        <f>INDEX('Price Inputs'!$C$4:$J$49,MATCH($B15,'Price Inputs'!$C$4:$C$49,0),MATCH(W$4,'Price Inputs'!$C$4:$J$4,0))</f>
        <v>0</v>
      </c>
      <c r="Y15" s="219" t="str">
        <f t="shared" si="12"/>
        <v/>
      </c>
      <c r="Z15" s="220">
        <f t="shared" si="13"/>
        <v>0</v>
      </c>
    </row>
    <row r="16" spans="1:26" x14ac:dyDescent="0.2">
      <c r="A16">
        <v>9</v>
      </c>
      <c r="B16" t="str">
        <f>'Current Portfolio'!C18</f>
        <v/>
      </c>
      <c r="C16" s="307" t="str">
        <f>IF(B16="","",INDEX('Portfolio Bucket'!$C$2:$I$69,MATCH(B16,'Portfolio Bucket'!$C$2:$C$69,0),MATCH($C$4,'Portfolio Bucket'!$C$2:$I$2,0)))</f>
        <v/>
      </c>
      <c r="D16" s="226" t="str">
        <f>INDEX('Price Inputs'!$C$4:$J$49,MATCH($B16,'Price Inputs'!$C$4:$C$49,0),MATCH(C$4,'Price Inputs'!$C$4:$J$4,0))</f>
        <v/>
      </c>
      <c r="E16" s="227" t="str">
        <f t="shared" si="3"/>
        <v/>
      </c>
      <c r="F16" s="311">
        <f t="shared" si="2"/>
        <v>0</v>
      </c>
      <c r="G16" s="308" t="str">
        <f>IF($B16="","",INDEX('Portfolio Bucket'!$C$2:$I$69,MATCH($B16,'Portfolio Bucket'!$C$2:$C$69,0),MATCH($G$4,'Portfolio Bucket'!$C$2:$I$2,0)))</f>
        <v/>
      </c>
      <c r="H16" s="218">
        <f>INDEX('Price Inputs'!$C$4:$J$49,MATCH($B16,'Price Inputs'!$C$4:$C$49,0),MATCH(G$4,'Price Inputs'!$C$4:$J$4,0))</f>
        <v>0</v>
      </c>
      <c r="I16" s="219" t="str">
        <f t="shared" si="4"/>
        <v/>
      </c>
      <c r="J16" s="220">
        <f t="shared" si="5"/>
        <v>0</v>
      </c>
      <c r="K16" s="225" t="str">
        <f>IF($B16="","",INDEX('Portfolio Bucket'!$C$2:$I$69,MATCH($B16,'Portfolio Bucket'!$C$2:$C$69,0),MATCH($K$4,'Portfolio Bucket'!$C$2:$I$2,0)))</f>
        <v/>
      </c>
      <c r="L16" s="226">
        <f>INDEX('Price Inputs'!$C$4:$J$49,MATCH($B16,'Price Inputs'!$C$4:$C$49,0),MATCH(K$4,'Price Inputs'!$C$4:$J$4,0))</f>
        <v>0</v>
      </c>
      <c r="M16" s="227" t="str">
        <f t="shared" si="6"/>
        <v/>
      </c>
      <c r="N16" s="228">
        <f t="shared" si="7"/>
        <v>0</v>
      </c>
      <c r="O16" s="308" t="str">
        <f>IF($B16="","",INDEX('Portfolio Bucket'!$C$2:$I$69,MATCH($B16,'Portfolio Bucket'!$C$2:$C$69,0),MATCH($O$4,'Portfolio Bucket'!$C$2:$I$2,0)))</f>
        <v/>
      </c>
      <c r="P16" s="218">
        <f>INDEX('Price Inputs'!$C$4:$J$49,MATCH($B16,'Price Inputs'!$C$4:$C$49,0),MATCH(O$4,'Price Inputs'!$C$4:$J$4,0))</f>
        <v>0</v>
      </c>
      <c r="Q16" s="219" t="str">
        <f t="shared" si="8"/>
        <v/>
      </c>
      <c r="R16" s="312">
        <f t="shared" si="9"/>
        <v>0</v>
      </c>
      <c r="S16" s="225" t="str">
        <f>IF($B16="","",INDEX('Portfolio Bucket'!$C$2:$I$69,MATCH($B16,'Portfolio Bucket'!$C$2:$C$69,0),MATCH($S$4,'Portfolio Bucket'!$C$2:$I$2,0)))</f>
        <v/>
      </c>
      <c r="T16" s="226">
        <f>INDEX('Price Inputs'!$C$4:$J$49,MATCH($B16,'Price Inputs'!$C$4:$C$49,0),MATCH(S$4,'Price Inputs'!$C$4:$J$4,0))</f>
        <v>0</v>
      </c>
      <c r="U16" s="227" t="str">
        <f t="shared" si="10"/>
        <v/>
      </c>
      <c r="V16" s="228">
        <f t="shared" si="11"/>
        <v>0</v>
      </c>
      <c r="W16" s="217" t="str">
        <f>IF($B16="","",INDEX('Portfolio Bucket'!$C$2:$I$69,MATCH($B16,'Portfolio Bucket'!$C$2:$C$69,0),MATCH($W$4,'Portfolio Bucket'!$C$2:$I$2,0)))</f>
        <v/>
      </c>
      <c r="X16" s="218">
        <f>INDEX('Price Inputs'!$C$4:$J$49,MATCH($B16,'Price Inputs'!$C$4:$C$49,0),MATCH(W$4,'Price Inputs'!$C$4:$J$4,0))</f>
        <v>0</v>
      </c>
      <c r="Y16" s="219" t="str">
        <f t="shared" si="12"/>
        <v/>
      </c>
      <c r="Z16" s="220">
        <f t="shared" si="13"/>
        <v>0</v>
      </c>
    </row>
    <row r="17" spans="1:26" x14ac:dyDescent="0.2">
      <c r="A17">
        <v>10</v>
      </c>
      <c r="B17" t="str">
        <f>'Current Portfolio'!C19</f>
        <v/>
      </c>
      <c r="C17" s="313" t="str">
        <f>IF(B17="","",INDEX('Portfolio Bucket'!$C$2:$I$69,MATCH(B17,'Portfolio Bucket'!$C$2:$C$69,0),MATCH($C$4,'Portfolio Bucket'!$C$2:$I$2,0)))</f>
        <v/>
      </c>
      <c r="D17" s="230" t="str">
        <f>INDEX('Price Inputs'!$C$4:$J$49,MATCH($B17,'Price Inputs'!$C$4:$C$49,0),MATCH(C$4,'Price Inputs'!$C$4:$J$4,0))</f>
        <v/>
      </c>
      <c r="E17" s="231" t="str">
        <f t="shared" si="3"/>
        <v/>
      </c>
      <c r="F17" s="314">
        <f t="shared" si="2"/>
        <v>0</v>
      </c>
      <c r="G17" s="275" t="str">
        <f>IF($B17="","",INDEX('Portfolio Bucket'!$C$2:$I$69,MATCH($B17,'Portfolio Bucket'!$C$2:$C$69,0),MATCH($G$4,'Portfolio Bucket'!$C$2:$I$2,0)))</f>
        <v/>
      </c>
      <c r="H17" s="221">
        <f>INDEX('Price Inputs'!$C$4:$J$49,MATCH($B17,'Price Inputs'!$C$4:$C$49,0),MATCH(G$4,'Price Inputs'!$C$4:$J$4,0))</f>
        <v>0</v>
      </c>
      <c r="I17" s="222" t="str">
        <f t="shared" si="4"/>
        <v/>
      </c>
      <c r="J17" s="223">
        <f t="shared" si="5"/>
        <v>0</v>
      </c>
      <c r="K17" s="229" t="str">
        <f>IF($B17="","",INDEX('Portfolio Bucket'!$C$2:$I$69,MATCH($B17,'Portfolio Bucket'!$C$2:$C$69,0),MATCH($K$4,'Portfolio Bucket'!$C$2:$I$2,0)))</f>
        <v/>
      </c>
      <c r="L17" s="230">
        <f>INDEX('Price Inputs'!$C$4:$J$49,MATCH($B17,'Price Inputs'!$C$4:$C$49,0),MATCH(K$4,'Price Inputs'!$C$4:$J$4,0))</f>
        <v>0</v>
      </c>
      <c r="M17" s="231" t="str">
        <f t="shared" si="6"/>
        <v/>
      </c>
      <c r="N17" s="232">
        <f t="shared" si="7"/>
        <v>0</v>
      </c>
      <c r="O17" s="275" t="str">
        <f>IF($B17="","",INDEX('Portfolio Bucket'!$C$2:$I$69,MATCH($B17,'Portfolio Bucket'!$C$2:$C$69,0),MATCH($O$4,'Portfolio Bucket'!$C$2:$I$2,0)))</f>
        <v/>
      </c>
      <c r="P17" s="221">
        <f>INDEX('Price Inputs'!$C$4:$J$49,MATCH($B17,'Price Inputs'!$C$4:$C$49,0),MATCH(O$4,'Price Inputs'!$C$4:$J$4,0))</f>
        <v>0</v>
      </c>
      <c r="Q17" s="222" t="str">
        <f t="shared" si="8"/>
        <v/>
      </c>
      <c r="R17" s="276">
        <f t="shared" si="9"/>
        <v>0</v>
      </c>
      <c r="S17" s="229" t="str">
        <f>IF($B17="","",INDEX('Portfolio Bucket'!$C$2:$I$69,MATCH($B17,'Portfolio Bucket'!$C$2:$C$69,0),MATCH($S$4,'Portfolio Bucket'!$C$2:$I$2,0)))</f>
        <v/>
      </c>
      <c r="T17" s="230">
        <f>INDEX('Price Inputs'!$C$4:$J$49,MATCH($B17,'Price Inputs'!$C$4:$C$49,0),MATCH(S$4,'Price Inputs'!$C$4:$J$4,0))</f>
        <v>0</v>
      </c>
      <c r="U17" s="231" t="str">
        <f t="shared" si="10"/>
        <v/>
      </c>
      <c r="V17" s="232">
        <f t="shared" si="11"/>
        <v>0</v>
      </c>
      <c r="W17" s="233" t="str">
        <f>IF($B17="","",INDEX('Portfolio Bucket'!$C$2:$I$69,MATCH($B17,'Portfolio Bucket'!$C$2:$C$69,0),MATCH($W$4,'Portfolio Bucket'!$C$2:$I$2,0)))</f>
        <v/>
      </c>
      <c r="X17" s="221">
        <f>INDEX('Price Inputs'!$C$4:$J$49,MATCH($B17,'Price Inputs'!$C$4:$C$49,0),MATCH(W$4,'Price Inputs'!$C$4:$J$4,0))</f>
        <v>0</v>
      </c>
      <c r="Y17" s="222" t="str">
        <f t="shared" si="12"/>
        <v/>
      </c>
      <c r="Z17" s="223">
        <f t="shared" si="13"/>
        <v>0</v>
      </c>
    </row>
    <row r="18" spans="1:26" x14ac:dyDescent="0.2">
      <c r="A18">
        <v>11</v>
      </c>
      <c r="B18" t="str">
        <f>'Current Portfolio'!C20</f>
        <v/>
      </c>
      <c r="C18" s="307" t="str">
        <f>IF(B18="","",INDEX('Portfolio Bucket'!$C$2:$I$69,MATCH(B18,'Portfolio Bucket'!$C$2:$C$69,0),MATCH($C$4,'Portfolio Bucket'!$C$2:$I$2,0)))</f>
        <v/>
      </c>
      <c r="D18" s="226" t="str">
        <f>INDEX('Price Inputs'!$C$4:$J$49,MATCH($B18,'Price Inputs'!$C$4:$C$49,0),MATCH(C$4,'Price Inputs'!$C$4:$J$4,0))</f>
        <v/>
      </c>
      <c r="E18" s="227" t="str">
        <f t="shared" si="3"/>
        <v/>
      </c>
      <c r="F18" s="311">
        <f t="shared" si="2"/>
        <v>0</v>
      </c>
      <c r="G18" s="308" t="str">
        <f>IF($B18="","",INDEX('Portfolio Bucket'!$C$2:$I$69,MATCH($B18,'Portfolio Bucket'!$C$2:$C$69,0),MATCH($G$4,'Portfolio Bucket'!$C$2:$I$2,0)))</f>
        <v/>
      </c>
      <c r="H18" s="218">
        <f>INDEX('Price Inputs'!$C$4:$J$49,MATCH($B18,'Price Inputs'!$C$4:$C$49,0),MATCH(G$4,'Price Inputs'!$C$4:$J$4,0))</f>
        <v>0</v>
      </c>
      <c r="I18" s="219" t="str">
        <f t="shared" si="4"/>
        <v/>
      </c>
      <c r="J18" s="220">
        <f t="shared" si="5"/>
        <v>0</v>
      </c>
      <c r="K18" s="225" t="str">
        <f>IF($B18="","",INDEX('Portfolio Bucket'!$C$2:$I$69,MATCH($B18,'Portfolio Bucket'!$C$2:$C$69,0),MATCH($K$4,'Portfolio Bucket'!$C$2:$I$2,0)))</f>
        <v/>
      </c>
      <c r="L18" s="226">
        <f>INDEX('Price Inputs'!$C$4:$J$49,MATCH($B18,'Price Inputs'!$C$4:$C$49,0),MATCH(K$4,'Price Inputs'!$C$4:$J$4,0))</f>
        <v>0</v>
      </c>
      <c r="M18" s="227" t="str">
        <f t="shared" si="6"/>
        <v/>
      </c>
      <c r="N18" s="228">
        <f t="shared" si="7"/>
        <v>0</v>
      </c>
      <c r="O18" s="20" t="str">
        <f>IF($B18="","",INDEX('Portfolio Bucket'!$C$2:$I$69,MATCH($B18,'Portfolio Bucket'!$C$2:$C$69,0),MATCH($O$4,'Portfolio Bucket'!$C$2:$I$2,0)))</f>
        <v/>
      </c>
      <c r="P18" s="47">
        <f>INDEX('Price Inputs'!$C$4:$J$49,MATCH($B18,'Price Inputs'!$C$4:$C$49,0),MATCH(O$4,'Price Inputs'!$C$4:$J$4,0))</f>
        <v>0</v>
      </c>
      <c r="Q18" s="21" t="str">
        <f t="shared" si="8"/>
        <v/>
      </c>
      <c r="R18" s="48">
        <f t="shared" si="9"/>
        <v>0</v>
      </c>
      <c r="S18" s="225" t="str">
        <f>IF($B18="","",INDEX('Portfolio Bucket'!$C$2:$I$69,MATCH($B18,'Portfolio Bucket'!$C$2:$C$69,0),MATCH($S$4,'Portfolio Bucket'!$C$2:$I$2,0)))</f>
        <v/>
      </c>
      <c r="T18" s="226">
        <f>INDEX('Price Inputs'!$C$4:$J$49,MATCH($B18,'Price Inputs'!$C$4:$C$49,0),MATCH(S$4,'Price Inputs'!$C$4:$J$4,0))</f>
        <v>0</v>
      </c>
      <c r="U18" s="227" t="str">
        <f t="shared" si="10"/>
        <v/>
      </c>
      <c r="V18" s="228">
        <f t="shared" si="11"/>
        <v>0</v>
      </c>
      <c r="W18" s="217" t="str">
        <f>IF($B18="","",INDEX('Portfolio Bucket'!$C$2:$I$69,MATCH($B18,'Portfolio Bucket'!$C$2:$C$69,0),MATCH($W$4,'Portfolio Bucket'!$C$2:$I$2,0)))</f>
        <v/>
      </c>
      <c r="X18" s="218">
        <f>INDEX('Price Inputs'!$C$4:$J$49,MATCH($B18,'Price Inputs'!$C$4:$C$49,0),MATCH(W$4,'Price Inputs'!$C$4:$J$4,0))</f>
        <v>0</v>
      </c>
      <c r="Y18" s="219" t="str">
        <f t="shared" si="12"/>
        <v/>
      </c>
      <c r="Z18" s="220">
        <f t="shared" si="13"/>
        <v>0</v>
      </c>
    </row>
    <row r="19" spans="1:26" x14ac:dyDescent="0.2">
      <c r="A19">
        <v>12</v>
      </c>
      <c r="B19" t="str">
        <f>'Current Portfolio'!C21</f>
        <v/>
      </c>
      <c r="C19" s="307" t="str">
        <f>IF(B19="","",INDEX('Portfolio Bucket'!$C$2:$I$69,MATCH(B19,'Portfolio Bucket'!$C$2:$C$69,0),MATCH($C$4,'Portfolio Bucket'!$C$2:$I$2,0)))</f>
        <v/>
      </c>
      <c r="D19" s="226" t="str">
        <f>INDEX('Price Inputs'!$C$4:$J$49,MATCH($B19,'Price Inputs'!$C$4:$C$49,0),MATCH(C$4,'Price Inputs'!$C$4:$J$4,0))</f>
        <v/>
      </c>
      <c r="E19" s="227" t="str">
        <f t="shared" si="3"/>
        <v/>
      </c>
      <c r="F19" s="311">
        <f t="shared" si="2"/>
        <v>0</v>
      </c>
      <c r="G19" s="308" t="str">
        <f>IF($B19="","",INDEX('Portfolio Bucket'!$C$2:$I$69,MATCH($B19,'Portfolio Bucket'!$C$2:$C$69,0),MATCH($G$4,'Portfolio Bucket'!$C$2:$I$2,0)))</f>
        <v/>
      </c>
      <c r="H19" s="218">
        <f>INDEX('Price Inputs'!$C$4:$J$49,MATCH($B19,'Price Inputs'!$C$4:$C$49,0),MATCH(G$4,'Price Inputs'!$C$4:$J$4,0))</f>
        <v>0</v>
      </c>
      <c r="I19" s="219" t="str">
        <f t="shared" si="4"/>
        <v/>
      </c>
      <c r="J19" s="220">
        <f t="shared" si="5"/>
        <v>0</v>
      </c>
      <c r="K19" s="225" t="str">
        <f>IF($B19="","",INDEX('Portfolio Bucket'!$C$2:$I$69,MATCH($B19,'Portfolio Bucket'!$C$2:$C$69,0),MATCH($K$4,'Portfolio Bucket'!$C$2:$I$2,0)))</f>
        <v/>
      </c>
      <c r="L19" s="226">
        <f>INDEX('Price Inputs'!$C$4:$J$49,MATCH($B19,'Price Inputs'!$C$4:$C$49,0),MATCH(K$4,'Price Inputs'!$C$4:$J$4,0))</f>
        <v>0</v>
      </c>
      <c r="M19" s="227" t="str">
        <f t="shared" si="6"/>
        <v/>
      </c>
      <c r="N19" s="228">
        <f t="shared" si="7"/>
        <v>0</v>
      </c>
      <c r="O19" s="20" t="str">
        <f>IF($B19="","",INDEX('Portfolio Bucket'!$C$2:$I$69,MATCH($B19,'Portfolio Bucket'!$C$2:$C$69,0),MATCH($O$4,'Portfolio Bucket'!$C$2:$I$2,0)))</f>
        <v/>
      </c>
      <c r="P19" s="21">
        <f>INDEX('Price Inputs'!$C$4:$J$49,MATCH($B19,'Price Inputs'!$C$4:$C$49,0),MATCH(O$4,'Price Inputs'!$C$4:$J$4,0))</f>
        <v>0</v>
      </c>
      <c r="Q19" s="21" t="str">
        <f t="shared" si="8"/>
        <v/>
      </c>
      <c r="R19" s="48">
        <f t="shared" si="9"/>
        <v>0</v>
      </c>
      <c r="S19" s="225" t="str">
        <f>IF($B19="","",INDEX('Portfolio Bucket'!$C$2:$I$69,MATCH($B19,'Portfolio Bucket'!$C$2:$C$69,0),MATCH($S$4,'Portfolio Bucket'!$C$2:$I$2,0)))</f>
        <v/>
      </c>
      <c r="T19" s="226">
        <f>INDEX('Price Inputs'!$C$4:$J$49,MATCH($B19,'Price Inputs'!$C$4:$C$49,0),MATCH(S$4,'Price Inputs'!$C$4:$J$4,0))</f>
        <v>0</v>
      </c>
      <c r="U19" s="227" t="str">
        <f t="shared" si="10"/>
        <v/>
      </c>
      <c r="V19" s="228">
        <f t="shared" si="11"/>
        <v>0</v>
      </c>
      <c r="W19" s="217" t="str">
        <f>IF($B19="","",INDEX('Portfolio Bucket'!$C$2:$I$69,MATCH($B19,'Portfolio Bucket'!$C$2:$C$69,0),MATCH($W$4,'Portfolio Bucket'!$C$2:$I$2,0)))</f>
        <v/>
      </c>
      <c r="X19" s="218">
        <f>INDEX('Price Inputs'!$C$4:$J$49,MATCH($B19,'Price Inputs'!$C$4:$C$49,0),MATCH(W$4,'Price Inputs'!$C$4:$J$4,0))</f>
        <v>0</v>
      </c>
      <c r="Y19" s="219" t="str">
        <f t="shared" si="12"/>
        <v/>
      </c>
      <c r="Z19" s="220">
        <f t="shared" si="13"/>
        <v>0</v>
      </c>
    </row>
    <row r="20" spans="1:26" x14ac:dyDescent="0.2">
      <c r="A20">
        <v>13</v>
      </c>
      <c r="B20" t="str">
        <f>'Current Portfolio'!C22</f>
        <v/>
      </c>
      <c r="C20" s="307" t="str">
        <f>IF(B20="","",INDEX('Portfolio Bucket'!$C$2:$I$69,MATCH(B20,'Portfolio Bucket'!$C$2:$C$69,0),MATCH($C$4,'Portfolio Bucket'!$C$2:$I$2,0)))</f>
        <v/>
      </c>
      <c r="D20" s="226" t="str">
        <f>INDEX('Price Inputs'!$C$4:$J$49,MATCH($B20,'Price Inputs'!$C$4:$C$49,0),MATCH(C$4,'Price Inputs'!$C$4:$J$4,0))</f>
        <v/>
      </c>
      <c r="E20" s="227" t="str">
        <f t="shared" si="3"/>
        <v/>
      </c>
      <c r="F20" s="311">
        <f t="shared" si="2"/>
        <v>0</v>
      </c>
      <c r="G20" s="308" t="str">
        <f>IF($B20="","",INDEX('Portfolio Bucket'!$C$2:$I$69,MATCH($B20,'Portfolio Bucket'!$C$2:$C$69,0),MATCH($G$4,'Portfolio Bucket'!$C$2:$I$2,0)))</f>
        <v/>
      </c>
      <c r="H20" s="218">
        <f>INDEX('Price Inputs'!$C$4:$J$49,MATCH($B20,'Price Inputs'!$C$4:$C$49,0),MATCH(G$4,'Price Inputs'!$C$4:$J$4,0))</f>
        <v>0</v>
      </c>
      <c r="I20" s="219" t="str">
        <f t="shared" si="4"/>
        <v/>
      </c>
      <c r="J20" s="220">
        <f t="shared" si="5"/>
        <v>0</v>
      </c>
      <c r="K20" s="225" t="str">
        <f>IF($B20="","",INDEX('Portfolio Bucket'!$C$2:$I$69,MATCH($B20,'Portfolio Bucket'!$C$2:$C$69,0),MATCH($K$4,'Portfolio Bucket'!$C$2:$I$2,0)))</f>
        <v/>
      </c>
      <c r="L20" s="226">
        <f>INDEX('Price Inputs'!$C$4:$J$49,MATCH($B20,'Price Inputs'!$C$4:$C$49,0),MATCH(K$4,'Price Inputs'!$C$4:$J$4,0))</f>
        <v>0</v>
      </c>
      <c r="M20" s="227" t="str">
        <f t="shared" si="6"/>
        <v/>
      </c>
      <c r="N20" s="228">
        <f t="shared" si="7"/>
        <v>0</v>
      </c>
      <c r="O20" s="20" t="str">
        <f>IF($B20="","",INDEX('Portfolio Bucket'!$C$2:$I$69,MATCH($B20,'Portfolio Bucket'!$C$2:$C$69,0),MATCH($O$4,'Portfolio Bucket'!$C$2:$I$2,0)))</f>
        <v/>
      </c>
      <c r="P20" s="21">
        <f>INDEX('Price Inputs'!$C$4:$J$49,MATCH($B20,'Price Inputs'!$C$4:$C$49,0),MATCH(O$4,'Price Inputs'!$C$4:$J$4,0))</f>
        <v>0</v>
      </c>
      <c r="Q20" s="21" t="str">
        <f t="shared" si="8"/>
        <v/>
      </c>
      <c r="R20" s="48">
        <f t="shared" si="9"/>
        <v>0</v>
      </c>
      <c r="S20" s="225" t="str">
        <f>IF($B20="","",INDEX('Portfolio Bucket'!$C$2:$I$69,MATCH($B20,'Portfolio Bucket'!$C$2:$C$69,0),MATCH($S$4,'Portfolio Bucket'!$C$2:$I$2,0)))</f>
        <v/>
      </c>
      <c r="T20" s="226">
        <f>INDEX('Price Inputs'!$C$4:$J$49,MATCH($B20,'Price Inputs'!$C$4:$C$49,0),MATCH(S$4,'Price Inputs'!$C$4:$J$4,0))</f>
        <v>0</v>
      </c>
      <c r="U20" s="227" t="str">
        <f t="shared" si="10"/>
        <v/>
      </c>
      <c r="V20" s="228">
        <f t="shared" si="11"/>
        <v>0</v>
      </c>
      <c r="W20" s="217" t="str">
        <f>IF($B20="","",INDEX('Portfolio Bucket'!$C$2:$I$69,MATCH($B20,'Portfolio Bucket'!$C$2:$C$69,0),MATCH($W$4,'Portfolio Bucket'!$C$2:$I$2,0)))</f>
        <v/>
      </c>
      <c r="X20" s="218">
        <f>INDEX('Price Inputs'!$C$4:$J$49,MATCH($B20,'Price Inputs'!$C$4:$C$49,0),MATCH(W$4,'Price Inputs'!$C$4:$J$4,0))</f>
        <v>0</v>
      </c>
      <c r="Y20" s="219" t="str">
        <f t="shared" si="12"/>
        <v/>
      </c>
      <c r="Z20" s="220">
        <f t="shared" si="13"/>
        <v>0</v>
      </c>
    </row>
    <row r="21" spans="1:26" x14ac:dyDescent="0.2">
      <c r="A21">
        <v>14</v>
      </c>
      <c r="B21" t="str">
        <f>'Current Portfolio'!C23</f>
        <v/>
      </c>
      <c r="C21" s="307" t="str">
        <f>IF(B21="","",INDEX('Portfolio Bucket'!$C$2:$I$69,MATCH(B21,'Portfolio Bucket'!$C$2:$C$69,0),MATCH($C$4,'Portfolio Bucket'!$C$2:$I$2,0)))</f>
        <v/>
      </c>
      <c r="D21" s="226" t="str">
        <f>INDEX('Price Inputs'!$C$4:$J$49,MATCH($B21,'Price Inputs'!$C$4:$C$49,0),MATCH(C$4,'Price Inputs'!$C$4:$J$4,0))</f>
        <v/>
      </c>
      <c r="E21" s="227" t="str">
        <f t="shared" si="3"/>
        <v/>
      </c>
      <c r="F21" s="311">
        <f t="shared" si="2"/>
        <v>0</v>
      </c>
      <c r="G21" s="308" t="str">
        <f>IF($B21="","",INDEX('Portfolio Bucket'!$C$2:$I$69,MATCH($B21,'Portfolio Bucket'!$C$2:$C$69,0),MATCH($G$4,'Portfolio Bucket'!$C$2:$I$2,0)))</f>
        <v/>
      </c>
      <c r="H21" s="218">
        <f>INDEX('Price Inputs'!$C$4:$J$49,MATCH($B21,'Price Inputs'!$C$4:$C$49,0),MATCH(G$4,'Price Inputs'!$C$4:$J$4,0))</f>
        <v>0</v>
      </c>
      <c r="I21" s="219" t="str">
        <f t="shared" si="4"/>
        <v/>
      </c>
      <c r="J21" s="220">
        <f t="shared" si="5"/>
        <v>0</v>
      </c>
      <c r="K21" s="225" t="str">
        <f>IF($B21="","",INDEX('Portfolio Bucket'!$C$2:$I$69,MATCH($B21,'Portfolio Bucket'!$C$2:$C$69,0),MATCH($K$4,'Portfolio Bucket'!$C$2:$I$2,0)))</f>
        <v/>
      </c>
      <c r="L21" s="226">
        <f>INDEX('Price Inputs'!$C$4:$J$49,MATCH($B21,'Price Inputs'!$C$4:$C$49,0),MATCH(K$4,'Price Inputs'!$C$4:$J$4,0))</f>
        <v>0</v>
      </c>
      <c r="M21" s="227" t="str">
        <f t="shared" si="6"/>
        <v/>
      </c>
      <c r="N21" s="228">
        <f t="shared" si="7"/>
        <v>0</v>
      </c>
      <c r="O21" s="20" t="str">
        <f>IF($B21="","",INDEX('Portfolio Bucket'!$C$2:$I$69,MATCH($B21,'Portfolio Bucket'!$C$2:$C$69,0),MATCH($O$4,'Portfolio Bucket'!$C$2:$I$2,0)))</f>
        <v/>
      </c>
      <c r="P21" s="21">
        <f>INDEX('Price Inputs'!$C$4:$J$49,MATCH($B21,'Price Inputs'!$C$4:$C$49,0),MATCH(O$4,'Price Inputs'!$C$4:$J$4,0))</f>
        <v>0</v>
      </c>
      <c r="Q21" s="21" t="str">
        <f t="shared" si="8"/>
        <v/>
      </c>
      <c r="R21" s="48">
        <f t="shared" si="9"/>
        <v>0</v>
      </c>
      <c r="S21" s="225" t="str">
        <f>IF($B21="","",INDEX('Portfolio Bucket'!$C$2:$I$69,MATCH($B21,'Portfolio Bucket'!$C$2:$C$69,0),MATCH($S$4,'Portfolio Bucket'!$C$2:$I$2,0)))</f>
        <v/>
      </c>
      <c r="T21" s="226">
        <f>INDEX('Price Inputs'!$C$4:$J$49,MATCH($B21,'Price Inputs'!$C$4:$C$49,0),MATCH(S$4,'Price Inputs'!$C$4:$J$4,0))</f>
        <v>0</v>
      </c>
      <c r="U21" s="227" t="str">
        <f t="shared" si="10"/>
        <v/>
      </c>
      <c r="V21" s="228">
        <f t="shared" si="11"/>
        <v>0</v>
      </c>
      <c r="W21" s="217" t="str">
        <f>IF($B21="","",INDEX('Portfolio Bucket'!$C$2:$I$69,MATCH($B21,'Portfolio Bucket'!$C$2:$C$69,0),MATCH($W$4,'Portfolio Bucket'!$C$2:$I$2,0)))</f>
        <v/>
      </c>
      <c r="X21" s="218">
        <f>INDEX('Price Inputs'!$C$4:$J$49,MATCH($B21,'Price Inputs'!$C$4:$C$49,0),MATCH(W$4,'Price Inputs'!$C$4:$J$4,0))</f>
        <v>0</v>
      </c>
      <c r="Y21" s="219" t="str">
        <f t="shared" si="12"/>
        <v/>
      </c>
      <c r="Z21" s="220">
        <f t="shared" si="13"/>
        <v>0</v>
      </c>
    </row>
    <row r="22" spans="1:26" x14ac:dyDescent="0.2">
      <c r="A22">
        <v>15</v>
      </c>
      <c r="B22" t="str">
        <f>'Current Portfolio'!C24</f>
        <v/>
      </c>
      <c r="C22" s="307" t="str">
        <f>IF(B22="","",INDEX('Portfolio Bucket'!$C$2:$I$69,MATCH(B22,'Portfolio Bucket'!$C$2:$C$69,0),MATCH($C$4,'Portfolio Bucket'!$C$2:$I$2,0)))</f>
        <v/>
      </c>
      <c r="D22" s="226" t="str">
        <f>INDEX('Price Inputs'!$C$4:$J$49,MATCH($B22,'Price Inputs'!$C$4:$C$49,0),MATCH(C$4,'Price Inputs'!$C$4:$J$4,0))</f>
        <v/>
      </c>
      <c r="E22" s="227" t="str">
        <f t="shared" si="3"/>
        <v/>
      </c>
      <c r="F22" s="311">
        <f t="shared" si="2"/>
        <v>0</v>
      </c>
      <c r="G22" s="308" t="str">
        <f>IF($B22="","",INDEX('Portfolio Bucket'!$C$2:$I$69,MATCH($B22,'Portfolio Bucket'!$C$2:$C$69,0),MATCH($G$4,'Portfolio Bucket'!$C$2:$I$2,0)))</f>
        <v/>
      </c>
      <c r="H22" s="218">
        <f>INDEX('Price Inputs'!$C$4:$J$49,MATCH($B22,'Price Inputs'!$C$4:$C$49,0),MATCH(G$4,'Price Inputs'!$C$4:$J$4,0))</f>
        <v>0</v>
      </c>
      <c r="I22" s="219" t="str">
        <f t="shared" si="4"/>
        <v/>
      </c>
      <c r="J22" s="220">
        <f t="shared" si="5"/>
        <v>0</v>
      </c>
      <c r="K22" s="225" t="str">
        <f>IF($B22="","",INDEX('Portfolio Bucket'!$C$2:$I$69,MATCH($B22,'Portfolio Bucket'!$C$2:$C$69,0),MATCH($K$4,'Portfolio Bucket'!$C$2:$I$2,0)))</f>
        <v/>
      </c>
      <c r="L22" s="226">
        <f>INDEX('Price Inputs'!$C$4:$J$49,MATCH($B22,'Price Inputs'!$C$4:$C$49,0),MATCH(K$4,'Price Inputs'!$C$4:$J$4,0))</f>
        <v>0</v>
      </c>
      <c r="M22" s="227" t="str">
        <f t="shared" si="6"/>
        <v/>
      </c>
      <c r="N22" s="228">
        <f t="shared" si="7"/>
        <v>0</v>
      </c>
      <c r="O22" s="20" t="str">
        <f>IF($B22="","",INDEX('Portfolio Bucket'!$C$2:$I$69,MATCH($B22,'Portfolio Bucket'!$C$2:$C$69,0),MATCH($O$4,'Portfolio Bucket'!$C$2:$I$2,0)))</f>
        <v/>
      </c>
      <c r="P22" s="21">
        <f>INDEX('Price Inputs'!$C$4:$J$49,MATCH($B22,'Price Inputs'!$C$4:$C$49,0),MATCH(O$4,'Price Inputs'!$C$4:$J$4,0))</f>
        <v>0</v>
      </c>
      <c r="Q22" s="21" t="str">
        <f t="shared" si="8"/>
        <v/>
      </c>
      <c r="R22" s="48">
        <f t="shared" si="9"/>
        <v>0</v>
      </c>
      <c r="S22" s="225" t="str">
        <f>IF($B22="","",INDEX('Portfolio Bucket'!$C$2:$I$69,MATCH($B22,'Portfolio Bucket'!$C$2:$C$69,0),MATCH($S$4,'Portfolio Bucket'!$C$2:$I$2,0)))</f>
        <v/>
      </c>
      <c r="T22" s="226">
        <f>INDEX('Price Inputs'!$C$4:$J$49,MATCH($B22,'Price Inputs'!$C$4:$C$49,0),MATCH(S$4,'Price Inputs'!$C$4:$J$4,0))</f>
        <v>0</v>
      </c>
      <c r="U22" s="227" t="str">
        <f t="shared" si="10"/>
        <v/>
      </c>
      <c r="V22" s="228">
        <f t="shared" si="11"/>
        <v>0</v>
      </c>
      <c r="W22" s="217" t="str">
        <f>IF($B22="","",INDEX('Portfolio Bucket'!$C$2:$I$69,MATCH($B22,'Portfolio Bucket'!$C$2:$C$69,0),MATCH($W$4,'Portfolio Bucket'!$C$2:$I$2,0)))</f>
        <v/>
      </c>
      <c r="X22" s="218">
        <f>INDEX('Price Inputs'!$C$4:$J$49,MATCH($B22,'Price Inputs'!$C$4:$C$49,0),MATCH(W$4,'Price Inputs'!$C$4:$J$4,0))</f>
        <v>0</v>
      </c>
      <c r="Y22" s="219" t="str">
        <f t="shared" si="12"/>
        <v/>
      </c>
      <c r="Z22" s="220">
        <f t="shared" si="13"/>
        <v>0</v>
      </c>
    </row>
    <row r="23" spans="1:26" x14ac:dyDescent="0.2">
      <c r="A23">
        <v>16</v>
      </c>
      <c r="B23" t="str">
        <f>'Current Portfolio'!C25</f>
        <v/>
      </c>
      <c r="C23" s="307" t="str">
        <f>IF(B23="","",INDEX('Portfolio Bucket'!$C$2:$I$69,MATCH(B23,'Portfolio Bucket'!$C$2:$C$69,0),MATCH($C$4,'Portfolio Bucket'!$C$2:$I$2,0)))</f>
        <v/>
      </c>
      <c r="D23" s="226" t="str">
        <f>INDEX('Price Inputs'!$C$4:$J$49,MATCH($B23,'Price Inputs'!$C$4:$C$49,0),MATCH(C$4,'Price Inputs'!$C$4:$J$4,0))</f>
        <v/>
      </c>
      <c r="E23" s="227" t="str">
        <f t="shared" si="3"/>
        <v/>
      </c>
      <c r="F23" s="311">
        <f t="shared" si="2"/>
        <v>0</v>
      </c>
      <c r="G23" s="308" t="str">
        <f>IF($B23="","",INDEX('Portfolio Bucket'!$C$2:$I$69,MATCH($B23,'Portfolio Bucket'!$C$2:$C$69,0),MATCH($G$4,'Portfolio Bucket'!$C$2:$I$2,0)))</f>
        <v/>
      </c>
      <c r="H23" s="218">
        <f>INDEX('Price Inputs'!$C$4:$J$49,MATCH($B23,'Price Inputs'!$C$4:$C$49,0),MATCH(G$4,'Price Inputs'!$C$4:$J$4,0))</f>
        <v>0</v>
      </c>
      <c r="I23" s="219" t="str">
        <f t="shared" si="4"/>
        <v/>
      </c>
      <c r="J23" s="220">
        <f t="shared" si="5"/>
        <v>0</v>
      </c>
      <c r="K23" s="225" t="str">
        <f>IF($B23="","",INDEX('Portfolio Bucket'!$C$2:$I$69,MATCH($B23,'Portfolio Bucket'!$C$2:$C$69,0),MATCH($K$4,'Portfolio Bucket'!$C$2:$I$2,0)))</f>
        <v/>
      </c>
      <c r="L23" s="226">
        <f>INDEX('Price Inputs'!$C$4:$J$49,MATCH($B23,'Price Inputs'!$C$4:$C$49,0),MATCH(K$4,'Price Inputs'!$C$4:$J$4,0))</f>
        <v>0</v>
      </c>
      <c r="M23" s="227" t="str">
        <f t="shared" si="6"/>
        <v/>
      </c>
      <c r="N23" s="228">
        <f t="shared" si="7"/>
        <v>0</v>
      </c>
      <c r="O23" s="20" t="str">
        <f>IF($B23="","",INDEX('Portfolio Bucket'!$C$2:$I$69,MATCH($B23,'Portfolio Bucket'!$C$2:$C$69,0),MATCH($O$4,'Portfolio Bucket'!$C$2:$I$2,0)))</f>
        <v/>
      </c>
      <c r="P23" s="21">
        <f>INDEX('Price Inputs'!$C$4:$J$49,MATCH($B23,'Price Inputs'!$C$4:$C$49,0),MATCH(O$4,'Price Inputs'!$C$4:$J$4,0))</f>
        <v>0</v>
      </c>
      <c r="Q23" s="21" t="str">
        <f t="shared" si="8"/>
        <v/>
      </c>
      <c r="R23" s="48">
        <f t="shared" si="9"/>
        <v>0</v>
      </c>
      <c r="S23" s="225" t="str">
        <f>IF($B23="","",INDEX('Portfolio Bucket'!$C$2:$I$69,MATCH($B23,'Portfolio Bucket'!$C$2:$C$69,0),MATCH($S$4,'Portfolio Bucket'!$C$2:$I$2,0)))</f>
        <v/>
      </c>
      <c r="T23" s="226">
        <f>INDEX('Price Inputs'!$C$4:$J$49,MATCH($B23,'Price Inputs'!$C$4:$C$49,0),MATCH(S$4,'Price Inputs'!$C$4:$J$4,0))</f>
        <v>0</v>
      </c>
      <c r="U23" s="227" t="str">
        <f t="shared" si="10"/>
        <v/>
      </c>
      <c r="V23" s="228">
        <f t="shared" si="11"/>
        <v>0</v>
      </c>
      <c r="W23" s="217" t="str">
        <f>IF($B23="","",INDEX('Portfolio Bucket'!$C$2:$I$69,MATCH($B23,'Portfolio Bucket'!$C$2:$C$69,0),MATCH($W$4,'Portfolio Bucket'!$C$2:$I$2,0)))</f>
        <v/>
      </c>
      <c r="X23" s="218">
        <f>INDEX('Price Inputs'!$C$4:$J$49,MATCH($B23,'Price Inputs'!$C$4:$C$49,0),MATCH(W$4,'Price Inputs'!$C$4:$J$4,0))</f>
        <v>0</v>
      </c>
      <c r="Y23" s="219" t="str">
        <f t="shared" si="12"/>
        <v/>
      </c>
      <c r="Z23" s="220">
        <f t="shared" si="13"/>
        <v>0</v>
      </c>
    </row>
    <row r="24" spans="1:26" x14ac:dyDescent="0.2">
      <c r="A24">
        <v>17</v>
      </c>
      <c r="B24" t="str">
        <f>'Current Portfolio'!C26</f>
        <v/>
      </c>
      <c r="C24" s="307" t="str">
        <f>IF(B24="","",INDEX('Portfolio Bucket'!$C$2:$I$69,MATCH(B24,'Portfolio Bucket'!$C$2:$C$69,0),MATCH($C$4,'Portfolio Bucket'!$C$2:$I$2,0)))</f>
        <v/>
      </c>
      <c r="D24" s="226" t="str">
        <f>INDEX('Price Inputs'!$C$4:$J$49,MATCH($B24,'Price Inputs'!$C$4:$C$49,0),MATCH(C$4,'Price Inputs'!$C$4:$J$4,0))</f>
        <v/>
      </c>
      <c r="E24" s="227" t="str">
        <f t="shared" si="3"/>
        <v/>
      </c>
      <c r="F24" s="311">
        <f t="shared" si="2"/>
        <v>0</v>
      </c>
      <c r="G24" s="308" t="str">
        <f>IF($B24="","",INDEX('Portfolio Bucket'!$C$2:$I$69,MATCH($B24,'Portfolio Bucket'!$C$2:$C$69,0),MATCH($G$4,'Portfolio Bucket'!$C$2:$I$2,0)))</f>
        <v/>
      </c>
      <c r="H24" s="218">
        <f>INDEX('Price Inputs'!$C$4:$J$49,MATCH($B24,'Price Inputs'!$C$4:$C$49,0),MATCH(G$4,'Price Inputs'!$C$4:$J$4,0))</f>
        <v>0</v>
      </c>
      <c r="I24" s="219" t="str">
        <f t="shared" si="4"/>
        <v/>
      </c>
      <c r="J24" s="220">
        <f t="shared" si="5"/>
        <v>0</v>
      </c>
      <c r="K24" s="225" t="str">
        <f>IF($B24="","",INDEX('Portfolio Bucket'!$C$2:$I$69,MATCH($B24,'Portfolio Bucket'!$C$2:$C$69,0),MATCH($K$4,'Portfolio Bucket'!$C$2:$I$2,0)))</f>
        <v/>
      </c>
      <c r="L24" s="226">
        <f>INDEX('Price Inputs'!$C$4:$J$49,MATCH($B24,'Price Inputs'!$C$4:$C$49,0),MATCH(K$4,'Price Inputs'!$C$4:$J$4,0))</f>
        <v>0</v>
      </c>
      <c r="M24" s="227" t="str">
        <f t="shared" si="6"/>
        <v/>
      </c>
      <c r="N24" s="228">
        <f t="shared" si="7"/>
        <v>0</v>
      </c>
      <c r="O24" s="20" t="str">
        <f>IF($B24="","",INDEX('Portfolio Bucket'!$C$2:$I$69,MATCH($B24,'Portfolio Bucket'!$C$2:$C$69,0),MATCH($O$4,'Portfolio Bucket'!$C$2:$I$2,0)))</f>
        <v/>
      </c>
      <c r="P24" s="21">
        <f>INDEX('Price Inputs'!$C$4:$J$49,MATCH($B24,'Price Inputs'!$C$4:$C$49,0),MATCH(O$4,'Price Inputs'!$C$4:$J$4,0))</f>
        <v>0</v>
      </c>
      <c r="Q24" s="21" t="str">
        <f t="shared" si="8"/>
        <v/>
      </c>
      <c r="R24" s="48">
        <f t="shared" si="9"/>
        <v>0</v>
      </c>
      <c r="S24" s="225" t="str">
        <f>IF($B24="","",INDEX('Portfolio Bucket'!$C$2:$I$69,MATCH($B24,'Portfolio Bucket'!$C$2:$C$69,0),MATCH($S$4,'Portfolio Bucket'!$C$2:$I$2,0)))</f>
        <v/>
      </c>
      <c r="T24" s="226">
        <f>INDEX('Price Inputs'!$C$4:$J$49,MATCH($B24,'Price Inputs'!$C$4:$C$49,0),MATCH(S$4,'Price Inputs'!$C$4:$J$4,0))</f>
        <v>0</v>
      </c>
      <c r="U24" s="227" t="str">
        <f t="shared" si="10"/>
        <v/>
      </c>
      <c r="V24" s="228">
        <f t="shared" si="11"/>
        <v>0</v>
      </c>
      <c r="W24" s="217" t="str">
        <f>IF($B24="","",INDEX('Portfolio Bucket'!$C$2:$I$69,MATCH($B24,'Portfolio Bucket'!$C$2:$C$69,0),MATCH($W$4,'Portfolio Bucket'!$C$2:$I$2,0)))</f>
        <v/>
      </c>
      <c r="X24" s="218">
        <f>INDEX('Price Inputs'!$C$4:$J$49,MATCH($B24,'Price Inputs'!$C$4:$C$49,0),MATCH(W$4,'Price Inputs'!$C$4:$J$4,0))</f>
        <v>0</v>
      </c>
      <c r="Y24" s="219" t="str">
        <f t="shared" si="12"/>
        <v/>
      </c>
      <c r="Z24" s="220">
        <f t="shared" si="13"/>
        <v>0</v>
      </c>
    </row>
    <row r="25" spans="1:26" x14ac:dyDescent="0.2">
      <c r="A25">
        <v>18</v>
      </c>
      <c r="B25" t="str">
        <f>'Current Portfolio'!C27</f>
        <v/>
      </c>
      <c r="C25" s="307" t="str">
        <f>IF(B25="","",INDEX('Portfolio Bucket'!$C$2:$I$69,MATCH(B25,'Portfolio Bucket'!$C$2:$C$69,0),MATCH($C$4,'Portfolio Bucket'!$C$2:$I$2,0)))</f>
        <v/>
      </c>
      <c r="D25" s="226" t="str">
        <f>INDEX('Price Inputs'!$C$4:$J$49,MATCH($B25,'Price Inputs'!$C$4:$C$49,0),MATCH(C$4,'Price Inputs'!$C$4:$J$4,0))</f>
        <v/>
      </c>
      <c r="E25" s="227" t="str">
        <f t="shared" si="3"/>
        <v/>
      </c>
      <c r="F25" s="311">
        <f t="shared" si="2"/>
        <v>0</v>
      </c>
      <c r="G25" s="308" t="str">
        <f>IF($B25="","",INDEX('Portfolio Bucket'!$C$2:$I$69,MATCH($B25,'Portfolio Bucket'!$C$2:$C$69,0),MATCH($G$4,'Portfolio Bucket'!$C$2:$I$2,0)))</f>
        <v/>
      </c>
      <c r="H25" s="218">
        <f>INDEX('Price Inputs'!$C$4:$J$49,MATCH($B25,'Price Inputs'!$C$4:$C$49,0),MATCH(G$4,'Price Inputs'!$C$4:$J$4,0))</f>
        <v>0</v>
      </c>
      <c r="I25" s="219" t="str">
        <f t="shared" si="4"/>
        <v/>
      </c>
      <c r="J25" s="220">
        <f t="shared" si="5"/>
        <v>0</v>
      </c>
      <c r="K25" s="225" t="str">
        <f>IF($B25="","",INDEX('Portfolio Bucket'!$C$2:$I$69,MATCH($B25,'Portfolio Bucket'!$C$2:$C$69,0),MATCH($K$4,'Portfolio Bucket'!$C$2:$I$2,0)))</f>
        <v/>
      </c>
      <c r="L25" s="226">
        <f>INDEX('Price Inputs'!$C$4:$J$49,MATCH($B25,'Price Inputs'!$C$4:$C$49,0),MATCH(K$4,'Price Inputs'!$C$4:$J$4,0))</f>
        <v>0</v>
      </c>
      <c r="M25" s="227" t="str">
        <f t="shared" si="6"/>
        <v/>
      </c>
      <c r="N25" s="228">
        <f t="shared" si="7"/>
        <v>0</v>
      </c>
      <c r="O25" s="20" t="str">
        <f>IF($B25="","",INDEX('Portfolio Bucket'!$C$2:$I$69,MATCH($B25,'Portfolio Bucket'!$C$2:$C$69,0),MATCH($O$4,'Portfolio Bucket'!$C$2:$I$2,0)))</f>
        <v/>
      </c>
      <c r="P25" s="21">
        <f>INDEX('Price Inputs'!$C$4:$J$49,MATCH($B25,'Price Inputs'!$C$4:$C$49,0),MATCH(O$4,'Price Inputs'!$C$4:$J$4,0))</f>
        <v>0</v>
      </c>
      <c r="Q25" s="21" t="str">
        <f t="shared" si="8"/>
        <v/>
      </c>
      <c r="R25" s="48">
        <f t="shared" si="9"/>
        <v>0</v>
      </c>
      <c r="S25" s="225" t="str">
        <f>IF($B25="","",INDEX('Portfolio Bucket'!$C$2:$I$69,MATCH($B25,'Portfolio Bucket'!$C$2:$C$69,0),MATCH($S$4,'Portfolio Bucket'!$C$2:$I$2,0)))</f>
        <v/>
      </c>
      <c r="T25" s="226">
        <f>INDEX('Price Inputs'!$C$4:$J$49,MATCH($B25,'Price Inputs'!$C$4:$C$49,0),MATCH(S$4,'Price Inputs'!$C$4:$J$4,0))</f>
        <v>0</v>
      </c>
      <c r="U25" s="227" t="str">
        <f t="shared" si="10"/>
        <v/>
      </c>
      <c r="V25" s="228">
        <f t="shared" si="11"/>
        <v>0</v>
      </c>
      <c r="W25" s="217" t="str">
        <f>IF($B25="","",INDEX('Portfolio Bucket'!$C$2:$I$69,MATCH($B25,'Portfolio Bucket'!$C$2:$C$69,0),MATCH($W$4,'Portfolio Bucket'!$C$2:$I$2,0)))</f>
        <v/>
      </c>
      <c r="X25" s="218">
        <f>INDEX('Price Inputs'!$C$4:$J$49,MATCH($B25,'Price Inputs'!$C$4:$C$49,0),MATCH(W$4,'Price Inputs'!$C$4:$J$4,0))</f>
        <v>0</v>
      </c>
      <c r="Y25" s="219" t="str">
        <f t="shared" si="12"/>
        <v/>
      </c>
      <c r="Z25" s="220">
        <f t="shared" si="13"/>
        <v>0</v>
      </c>
    </row>
    <row r="26" spans="1:26" x14ac:dyDescent="0.2">
      <c r="A26">
        <v>19</v>
      </c>
      <c r="B26" t="str">
        <f>'Current Portfolio'!C28</f>
        <v/>
      </c>
      <c r="C26" s="307" t="str">
        <f>IF(B26="","",INDEX('Portfolio Bucket'!$C$2:$I$69,MATCH(B26,'Portfolio Bucket'!$C$2:$C$69,0),MATCH($C$4,'Portfolio Bucket'!$C$2:$I$2,0)))</f>
        <v/>
      </c>
      <c r="D26" s="226" t="str">
        <f>INDEX('Price Inputs'!$C$4:$J$49,MATCH($B26,'Price Inputs'!$C$4:$C$49,0),MATCH(C$4,'Price Inputs'!$C$4:$J$4,0))</f>
        <v/>
      </c>
      <c r="E26" s="227" t="str">
        <f t="shared" si="3"/>
        <v/>
      </c>
      <c r="F26" s="311">
        <f t="shared" si="2"/>
        <v>0</v>
      </c>
      <c r="G26" s="308" t="str">
        <f>IF($B26="","",INDEX('Portfolio Bucket'!$C$2:$I$69,MATCH($B26,'Portfolio Bucket'!$C$2:$C$69,0),MATCH($G$4,'Portfolio Bucket'!$C$2:$I$2,0)))</f>
        <v/>
      </c>
      <c r="H26" s="218">
        <f>INDEX('Price Inputs'!$C$4:$J$49,MATCH($B26,'Price Inputs'!$C$4:$C$49,0),MATCH(G$4,'Price Inputs'!$C$4:$J$4,0))</f>
        <v>0</v>
      </c>
      <c r="I26" s="219" t="str">
        <f t="shared" si="4"/>
        <v/>
      </c>
      <c r="J26" s="220">
        <f t="shared" si="5"/>
        <v>0</v>
      </c>
      <c r="K26" s="225" t="str">
        <f>IF($B26="","",INDEX('Portfolio Bucket'!$C$2:$I$69,MATCH($B26,'Portfolio Bucket'!$C$2:$C$69,0),MATCH($K$4,'Portfolio Bucket'!$C$2:$I$2,0)))</f>
        <v/>
      </c>
      <c r="L26" s="226">
        <f>INDEX('Price Inputs'!$C$4:$J$49,MATCH($B26,'Price Inputs'!$C$4:$C$49,0),MATCH(K$4,'Price Inputs'!$C$4:$J$4,0))</f>
        <v>0</v>
      </c>
      <c r="M26" s="227" t="str">
        <f t="shared" si="6"/>
        <v/>
      </c>
      <c r="N26" s="228">
        <f t="shared" si="7"/>
        <v>0</v>
      </c>
      <c r="O26" s="20" t="str">
        <f>IF($B26="","",INDEX('Portfolio Bucket'!$C$2:$I$69,MATCH($B26,'Portfolio Bucket'!$C$2:$C$69,0),MATCH($O$4,'Portfolio Bucket'!$C$2:$I$2,0)))</f>
        <v/>
      </c>
      <c r="P26" s="21">
        <f>INDEX('Price Inputs'!$C$4:$J$49,MATCH($B26,'Price Inputs'!$C$4:$C$49,0),MATCH(O$4,'Price Inputs'!$C$4:$J$4,0))</f>
        <v>0</v>
      </c>
      <c r="Q26" s="21" t="str">
        <f t="shared" si="8"/>
        <v/>
      </c>
      <c r="R26" s="48">
        <f t="shared" si="9"/>
        <v>0</v>
      </c>
      <c r="S26" s="225" t="str">
        <f>IF($B26="","",INDEX('Portfolio Bucket'!$C$2:$I$69,MATCH($B26,'Portfolio Bucket'!$C$2:$C$69,0),MATCH($S$4,'Portfolio Bucket'!$C$2:$I$2,0)))</f>
        <v/>
      </c>
      <c r="T26" s="226">
        <f>INDEX('Price Inputs'!$C$4:$J$49,MATCH($B26,'Price Inputs'!$C$4:$C$49,0),MATCH(S$4,'Price Inputs'!$C$4:$J$4,0))</f>
        <v>0</v>
      </c>
      <c r="U26" s="227" t="str">
        <f t="shared" si="10"/>
        <v/>
      </c>
      <c r="V26" s="228">
        <f t="shared" si="11"/>
        <v>0</v>
      </c>
      <c r="W26" s="217" t="str">
        <f>IF($B26="","",INDEX('Portfolio Bucket'!$C$2:$I$69,MATCH($B26,'Portfolio Bucket'!$C$2:$C$69,0),MATCH($W$4,'Portfolio Bucket'!$C$2:$I$2,0)))</f>
        <v/>
      </c>
      <c r="X26" s="218">
        <f>INDEX('Price Inputs'!$C$4:$J$49,MATCH($B26,'Price Inputs'!$C$4:$C$49,0),MATCH(W$4,'Price Inputs'!$C$4:$J$4,0))</f>
        <v>0</v>
      </c>
      <c r="Y26" s="219" t="str">
        <f t="shared" si="12"/>
        <v/>
      </c>
      <c r="Z26" s="220">
        <f t="shared" si="13"/>
        <v>0</v>
      </c>
    </row>
    <row r="27" spans="1:26" x14ac:dyDescent="0.2">
      <c r="A27">
        <v>20</v>
      </c>
      <c r="B27" t="str">
        <f>'Current Portfolio'!C29</f>
        <v/>
      </c>
      <c r="C27" s="307" t="str">
        <f>IF(B27="","",INDEX('Portfolio Bucket'!$C$2:$I$69,MATCH(B27,'Portfolio Bucket'!$C$2:$C$69,0),MATCH($C$4,'Portfolio Bucket'!$C$2:$I$2,0)))</f>
        <v/>
      </c>
      <c r="D27" s="226" t="str">
        <f>INDEX('Price Inputs'!$C$4:$J$49,MATCH($B27,'Price Inputs'!$C$4:$C$49,0),MATCH(C$4,'Price Inputs'!$C$4:$J$4,0))</f>
        <v/>
      </c>
      <c r="E27" s="227" t="str">
        <f t="shared" si="3"/>
        <v/>
      </c>
      <c r="F27" s="311">
        <f t="shared" si="2"/>
        <v>0</v>
      </c>
      <c r="G27" s="308" t="str">
        <f>IF($B27="","",INDEX('Portfolio Bucket'!$C$2:$I$69,MATCH($B27,'Portfolio Bucket'!$C$2:$C$69,0),MATCH($G$4,'Portfolio Bucket'!$C$2:$I$2,0)))</f>
        <v/>
      </c>
      <c r="H27" s="218">
        <f>INDEX('Price Inputs'!$C$4:$J$49,MATCH($B27,'Price Inputs'!$C$4:$C$49,0),MATCH(G$4,'Price Inputs'!$C$4:$J$4,0))</f>
        <v>0</v>
      </c>
      <c r="I27" s="219" t="str">
        <f t="shared" si="4"/>
        <v/>
      </c>
      <c r="J27" s="220">
        <f t="shared" si="5"/>
        <v>0</v>
      </c>
      <c r="K27" s="225" t="str">
        <f>IF($B27="","",INDEX('Portfolio Bucket'!$C$2:$I$69,MATCH($B27,'Portfolio Bucket'!$C$2:$C$69,0),MATCH($K$4,'Portfolio Bucket'!$C$2:$I$2,0)))</f>
        <v/>
      </c>
      <c r="L27" s="226">
        <f>INDEX('Price Inputs'!$C$4:$J$49,MATCH($B27,'Price Inputs'!$C$4:$C$49,0),MATCH(K$4,'Price Inputs'!$C$4:$J$4,0))</f>
        <v>0</v>
      </c>
      <c r="M27" s="227" t="str">
        <f t="shared" si="6"/>
        <v/>
      </c>
      <c r="N27" s="228">
        <f t="shared" si="7"/>
        <v>0</v>
      </c>
      <c r="O27" s="20" t="str">
        <f>IF($B27="","",INDEX('Portfolio Bucket'!$C$2:$I$69,MATCH($B27,'Portfolio Bucket'!$C$2:$C$69,0),MATCH($O$4,'Portfolio Bucket'!$C$2:$I$2,0)))</f>
        <v/>
      </c>
      <c r="P27" s="21">
        <f>INDEX('Price Inputs'!$C$4:$J$49,MATCH($B27,'Price Inputs'!$C$4:$C$49,0),MATCH(O$4,'Price Inputs'!$C$4:$J$4,0))</f>
        <v>0</v>
      </c>
      <c r="Q27" s="21" t="str">
        <f t="shared" si="8"/>
        <v/>
      </c>
      <c r="R27" s="48">
        <f t="shared" si="9"/>
        <v>0</v>
      </c>
      <c r="S27" s="225" t="str">
        <f>IF($B27="","",INDEX('Portfolio Bucket'!$C$2:$I$69,MATCH($B27,'Portfolio Bucket'!$C$2:$C$69,0),MATCH($S$4,'Portfolio Bucket'!$C$2:$I$2,0)))</f>
        <v/>
      </c>
      <c r="T27" s="226">
        <f>INDEX('Price Inputs'!$C$4:$J$49,MATCH($B27,'Price Inputs'!$C$4:$C$49,0),MATCH(S$4,'Price Inputs'!$C$4:$J$4,0))</f>
        <v>0</v>
      </c>
      <c r="U27" s="227" t="str">
        <f t="shared" si="10"/>
        <v/>
      </c>
      <c r="V27" s="228">
        <f t="shared" si="11"/>
        <v>0</v>
      </c>
      <c r="W27" s="217" t="str">
        <f>IF($B27="","",INDEX('Portfolio Bucket'!$C$2:$I$69,MATCH($B27,'Portfolio Bucket'!$C$2:$C$69,0),MATCH($W$4,'Portfolio Bucket'!$C$2:$I$2,0)))</f>
        <v/>
      </c>
      <c r="X27" s="218">
        <f>INDEX('Price Inputs'!$C$4:$J$49,MATCH($B27,'Price Inputs'!$C$4:$C$49,0),MATCH(W$4,'Price Inputs'!$C$4:$J$4,0))</f>
        <v>0</v>
      </c>
      <c r="Y27" s="219" t="str">
        <f t="shared" si="12"/>
        <v/>
      </c>
      <c r="Z27" s="220">
        <f t="shared" si="13"/>
        <v>0</v>
      </c>
    </row>
    <row r="28" spans="1:26" x14ac:dyDescent="0.2">
      <c r="A28">
        <v>21</v>
      </c>
      <c r="B28" t="str">
        <f>'Current Portfolio'!C30</f>
        <v/>
      </c>
      <c r="C28" s="307" t="str">
        <f>IF(B28="","",INDEX('Portfolio Bucket'!$C$2:$I$69,MATCH(B28,'Portfolio Bucket'!$C$2:$C$69,0),MATCH($C$4,'Portfolio Bucket'!$C$2:$I$2,0)))</f>
        <v/>
      </c>
      <c r="D28" s="226" t="str">
        <f>INDEX('Price Inputs'!$C$4:$J$49,MATCH($B28,'Price Inputs'!$C$4:$C$49,0),MATCH(C$4,'Price Inputs'!$C$4:$J$4,0))</f>
        <v/>
      </c>
      <c r="E28" s="227" t="str">
        <f t="shared" si="3"/>
        <v/>
      </c>
      <c r="F28" s="311">
        <f t="shared" si="2"/>
        <v>0</v>
      </c>
      <c r="G28" s="308" t="str">
        <f>IF($B28="","",INDEX('Portfolio Bucket'!$C$2:$I$69,MATCH($B28,'Portfolio Bucket'!$C$2:$C$69,0),MATCH($G$4,'Portfolio Bucket'!$C$2:$I$2,0)))</f>
        <v/>
      </c>
      <c r="H28" s="218">
        <f>INDEX('Price Inputs'!$C$4:$J$49,MATCH($B28,'Price Inputs'!$C$4:$C$49,0),MATCH(G$4,'Price Inputs'!$C$4:$J$4,0))</f>
        <v>0</v>
      </c>
      <c r="I28" s="219" t="str">
        <f t="shared" si="4"/>
        <v/>
      </c>
      <c r="J28" s="220">
        <f t="shared" si="5"/>
        <v>0</v>
      </c>
      <c r="K28" s="225" t="str">
        <f>IF($B28="","",INDEX('Portfolio Bucket'!$C$2:$I$69,MATCH($B28,'Portfolio Bucket'!$C$2:$C$69,0),MATCH($K$4,'Portfolio Bucket'!$C$2:$I$2,0)))</f>
        <v/>
      </c>
      <c r="L28" s="226">
        <f>INDEX('Price Inputs'!$C$4:$J$49,MATCH($B28,'Price Inputs'!$C$4:$C$49,0),MATCH(K$4,'Price Inputs'!$C$4:$J$4,0))</f>
        <v>0</v>
      </c>
      <c r="M28" s="227" t="str">
        <f t="shared" si="6"/>
        <v/>
      </c>
      <c r="N28" s="228">
        <f t="shared" si="7"/>
        <v>0</v>
      </c>
      <c r="O28" s="20" t="str">
        <f>IF($B28="","",INDEX('Portfolio Bucket'!$C$2:$I$69,MATCH($B28,'Portfolio Bucket'!$C$2:$C$69,0),MATCH($O$4,'Portfolio Bucket'!$C$2:$I$2,0)))</f>
        <v/>
      </c>
      <c r="P28" s="21">
        <f>INDEX('Price Inputs'!$C$4:$J$49,MATCH($B28,'Price Inputs'!$C$4:$C$49,0),MATCH(O$4,'Price Inputs'!$C$4:$J$4,0))</f>
        <v>0</v>
      </c>
      <c r="Q28" s="21" t="str">
        <f t="shared" si="8"/>
        <v/>
      </c>
      <c r="R28" s="48">
        <f t="shared" si="9"/>
        <v>0</v>
      </c>
      <c r="S28" s="225" t="str">
        <f>IF($B28="","",INDEX('Portfolio Bucket'!$C$2:$I$69,MATCH($B28,'Portfolio Bucket'!$C$2:$C$69,0),MATCH($S$4,'Portfolio Bucket'!$C$2:$I$2,0)))</f>
        <v/>
      </c>
      <c r="T28" s="226">
        <f>INDEX('Price Inputs'!$C$4:$J$49,MATCH($B28,'Price Inputs'!$C$4:$C$49,0),MATCH(S$4,'Price Inputs'!$C$4:$J$4,0))</f>
        <v>0</v>
      </c>
      <c r="U28" s="227" t="str">
        <f t="shared" si="10"/>
        <v/>
      </c>
      <c r="V28" s="228">
        <f t="shared" si="11"/>
        <v>0</v>
      </c>
      <c r="W28" s="217" t="str">
        <f>IF($B28="","",INDEX('Portfolio Bucket'!$C$2:$I$69,MATCH($B28,'Portfolio Bucket'!$C$2:$C$69,0),MATCH($W$4,'Portfolio Bucket'!$C$2:$I$2,0)))</f>
        <v/>
      </c>
      <c r="X28" s="218">
        <f>INDEX('Price Inputs'!$C$4:$J$49,MATCH($B28,'Price Inputs'!$C$4:$C$49,0),MATCH(W$4,'Price Inputs'!$C$4:$J$4,0))</f>
        <v>0</v>
      </c>
      <c r="Y28" s="219" t="str">
        <f t="shared" si="12"/>
        <v/>
      </c>
      <c r="Z28" s="220">
        <f t="shared" si="13"/>
        <v>0</v>
      </c>
    </row>
    <row r="29" spans="1:26" x14ac:dyDescent="0.2">
      <c r="A29">
        <v>22</v>
      </c>
      <c r="B29" t="str">
        <f>'Current Portfolio'!C31</f>
        <v/>
      </c>
      <c r="C29" s="307" t="str">
        <f>IF(B29="","",INDEX('Portfolio Bucket'!$C$2:$I$69,MATCH(B29,'Portfolio Bucket'!$C$2:$C$69,0),MATCH($C$4,'Portfolio Bucket'!$C$2:$I$2,0)))</f>
        <v/>
      </c>
      <c r="D29" s="226" t="str">
        <f>INDEX('Price Inputs'!$C$4:$J$49,MATCH($B29,'Price Inputs'!$C$4:$C$49,0),MATCH(C$4,'Price Inputs'!$C$4:$J$4,0))</f>
        <v/>
      </c>
      <c r="E29" s="227" t="str">
        <f t="shared" si="3"/>
        <v/>
      </c>
      <c r="F29" s="311">
        <f t="shared" si="2"/>
        <v>0</v>
      </c>
      <c r="G29" s="308" t="str">
        <f>IF($B29="","",INDEX('Portfolio Bucket'!$C$2:$I$69,MATCH($B29,'Portfolio Bucket'!$C$2:$C$69,0),MATCH($G$4,'Portfolio Bucket'!$C$2:$I$2,0)))</f>
        <v/>
      </c>
      <c r="H29" s="218">
        <f>INDEX('Price Inputs'!$C$4:$J$49,MATCH($B29,'Price Inputs'!$C$4:$C$49,0),MATCH(G$4,'Price Inputs'!$C$4:$J$4,0))</f>
        <v>0</v>
      </c>
      <c r="I29" s="219" t="str">
        <f t="shared" si="4"/>
        <v/>
      </c>
      <c r="J29" s="220">
        <f t="shared" si="5"/>
        <v>0</v>
      </c>
      <c r="K29" s="225" t="str">
        <f>IF($B29="","",INDEX('Portfolio Bucket'!$C$2:$I$69,MATCH($B29,'Portfolio Bucket'!$C$2:$C$69,0),MATCH($K$4,'Portfolio Bucket'!$C$2:$I$2,0)))</f>
        <v/>
      </c>
      <c r="L29" s="226">
        <f>INDEX('Price Inputs'!$C$4:$J$49,MATCH($B29,'Price Inputs'!$C$4:$C$49,0),MATCH(K$4,'Price Inputs'!$C$4:$J$4,0))</f>
        <v>0</v>
      </c>
      <c r="M29" s="227" t="str">
        <f t="shared" si="6"/>
        <v/>
      </c>
      <c r="N29" s="228">
        <f t="shared" si="7"/>
        <v>0</v>
      </c>
      <c r="O29" s="20" t="str">
        <f>IF($B29="","",INDEX('Portfolio Bucket'!$C$2:$I$69,MATCH($B29,'Portfolio Bucket'!$C$2:$C$69,0),MATCH($O$4,'Portfolio Bucket'!$C$2:$I$2,0)))</f>
        <v/>
      </c>
      <c r="P29" s="21">
        <f>INDEX('Price Inputs'!$C$4:$J$49,MATCH($B29,'Price Inputs'!$C$4:$C$49,0),MATCH(O$4,'Price Inputs'!$C$4:$J$4,0))</f>
        <v>0</v>
      </c>
      <c r="Q29" s="21" t="str">
        <f t="shared" si="8"/>
        <v/>
      </c>
      <c r="R29" s="48">
        <f t="shared" si="9"/>
        <v>0</v>
      </c>
      <c r="S29" s="225" t="str">
        <f>IF($B29="","",INDEX('Portfolio Bucket'!$C$2:$I$69,MATCH($B29,'Portfolio Bucket'!$C$2:$C$69,0),MATCH($S$4,'Portfolio Bucket'!$C$2:$I$2,0)))</f>
        <v/>
      </c>
      <c r="T29" s="226">
        <f>INDEX('Price Inputs'!$C$4:$J$49,MATCH($B29,'Price Inputs'!$C$4:$C$49,0),MATCH(S$4,'Price Inputs'!$C$4:$J$4,0))</f>
        <v>0</v>
      </c>
      <c r="U29" s="227" t="str">
        <f t="shared" si="10"/>
        <v/>
      </c>
      <c r="V29" s="228">
        <f t="shared" si="11"/>
        <v>0</v>
      </c>
      <c r="W29" s="217" t="str">
        <f>IF($B29="","",INDEX('Portfolio Bucket'!$C$2:$I$69,MATCH($B29,'Portfolio Bucket'!$C$2:$C$69,0),MATCH($W$4,'Portfolio Bucket'!$C$2:$I$2,0)))</f>
        <v/>
      </c>
      <c r="X29" s="218">
        <f>INDEX('Price Inputs'!$C$4:$J$49,MATCH($B29,'Price Inputs'!$C$4:$C$49,0),MATCH(W$4,'Price Inputs'!$C$4:$J$4,0))</f>
        <v>0</v>
      </c>
      <c r="Y29" s="219" t="str">
        <f t="shared" si="12"/>
        <v/>
      </c>
      <c r="Z29" s="220">
        <f t="shared" si="13"/>
        <v>0</v>
      </c>
    </row>
    <row r="30" spans="1:26" x14ac:dyDescent="0.2">
      <c r="A30">
        <v>23</v>
      </c>
      <c r="B30" t="str">
        <f>'Current Portfolio'!C32</f>
        <v/>
      </c>
      <c r="C30" s="307" t="str">
        <f>IF(B30="","",INDEX('Portfolio Bucket'!$C$2:$I$69,MATCH(B30,'Portfolio Bucket'!$C$2:$C$69,0),MATCH($C$4,'Portfolio Bucket'!$C$2:$I$2,0)))</f>
        <v/>
      </c>
      <c r="D30" s="226" t="str">
        <f>INDEX('Price Inputs'!$C$4:$J$49,MATCH($B30,'Price Inputs'!$C$4:$C$49,0),MATCH(C$4,'Price Inputs'!$C$4:$J$4,0))</f>
        <v/>
      </c>
      <c r="E30" s="227" t="str">
        <f t="shared" si="3"/>
        <v/>
      </c>
      <c r="F30" s="311">
        <f t="shared" si="2"/>
        <v>0</v>
      </c>
      <c r="G30" s="308" t="str">
        <f>IF($B30="","",INDEX('Portfolio Bucket'!$C$2:$I$69,MATCH($B30,'Portfolio Bucket'!$C$2:$C$69,0),MATCH($G$4,'Portfolio Bucket'!$C$2:$I$2,0)))</f>
        <v/>
      </c>
      <c r="H30" s="218">
        <f>INDEX('Price Inputs'!$C$4:$J$49,MATCH($B30,'Price Inputs'!$C$4:$C$49,0),MATCH(G$4,'Price Inputs'!$C$4:$J$4,0))</f>
        <v>0</v>
      </c>
      <c r="I30" s="219" t="str">
        <f t="shared" si="4"/>
        <v/>
      </c>
      <c r="J30" s="220">
        <f t="shared" si="5"/>
        <v>0</v>
      </c>
      <c r="K30" s="225" t="str">
        <f>IF($B30="","",INDEX('Portfolio Bucket'!$C$2:$I$69,MATCH($B30,'Portfolio Bucket'!$C$2:$C$69,0),MATCH($K$4,'Portfolio Bucket'!$C$2:$I$2,0)))</f>
        <v/>
      </c>
      <c r="L30" s="226">
        <f>INDEX('Price Inputs'!$C$4:$J$49,MATCH($B30,'Price Inputs'!$C$4:$C$49,0),MATCH(K$4,'Price Inputs'!$C$4:$J$4,0))</f>
        <v>0</v>
      </c>
      <c r="M30" s="227" t="str">
        <f t="shared" si="6"/>
        <v/>
      </c>
      <c r="N30" s="228">
        <f t="shared" si="7"/>
        <v>0</v>
      </c>
      <c r="O30" s="20" t="str">
        <f>IF($B30="","",INDEX('Portfolio Bucket'!$C$2:$I$69,MATCH($B30,'Portfolio Bucket'!$C$2:$C$69,0),MATCH($O$4,'Portfolio Bucket'!$C$2:$I$2,0)))</f>
        <v/>
      </c>
      <c r="P30" s="21">
        <f>INDEX('Price Inputs'!$C$4:$J$49,MATCH($B30,'Price Inputs'!$C$4:$C$49,0),MATCH(O$4,'Price Inputs'!$C$4:$J$4,0))</f>
        <v>0</v>
      </c>
      <c r="Q30" s="21" t="str">
        <f t="shared" si="8"/>
        <v/>
      </c>
      <c r="R30" s="48">
        <f t="shared" si="9"/>
        <v>0</v>
      </c>
      <c r="S30" s="225" t="str">
        <f>IF($B30="","",INDEX('Portfolio Bucket'!$C$2:$I$69,MATCH($B30,'Portfolio Bucket'!$C$2:$C$69,0),MATCH($S$4,'Portfolio Bucket'!$C$2:$I$2,0)))</f>
        <v/>
      </c>
      <c r="T30" s="226">
        <f>INDEX('Price Inputs'!$C$4:$J$49,MATCH($B30,'Price Inputs'!$C$4:$C$49,0),MATCH(S$4,'Price Inputs'!$C$4:$J$4,0))</f>
        <v>0</v>
      </c>
      <c r="U30" s="227" t="str">
        <f t="shared" si="10"/>
        <v/>
      </c>
      <c r="V30" s="228">
        <f t="shared" si="11"/>
        <v>0</v>
      </c>
      <c r="W30" s="217" t="str">
        <f>IF($B30="","",INDEX('Portfolio Bucket'!$C$2:$I$69,MATCH($B30,'Portfolio Bucket'!$C$2:$C$69,0),MATCH($W$4,'Portfolio Bucket'!$C$2:$I$2,0)))</f>
        <v/>
      </c>
      <c r="X30" s="218">
        <f>INDEX('Price Inputs'!$C$4:$J$49,MATCH($B30,'Price Inputs'!$C$4:$C$49,0),MATCH(W$4,'Price Inputs'!$C$4:$J$4,0))</f>
        <v>0</v>
      </c>
      <c r="Y30" s="219" t="str">
        <f t="shared" si="12"/>
        <v/>
      </c>
      <c r="Z30" s="220">
        <f t="shared" si="13"/>
        <v>0</v>
      </c>
    </row>
    <row r="31" spans="1:26" x14ac:dyDescent="0.2">
      <c r="A31">
        <v>24</v>
      </c>
      <c r="B31" t="str">
        <f>'Current Portfolio'!C33</f>
        <v/>
      </c>
      <c r="C31" s="307" t="str">
        <f>IF(B31="","",INDEX('Portfolio Bucket'!$C$2:$I$69,MATCH(B31,'Portfolio Bucket'!$C$2:$C$69,0),MATCH($C$4,'Portfolio Bucket'!$C$2:$I$2,0)))</f>
        <v/>
      </c>
      <c r="D31" s="226" t="str">
        <f>INDEX('Price Inputs'!$C$4:$J$49,MATCH($B31,'Price Inputs'!$C$4:$C$49,0),MATCH(C$4,'Price Inputs'!$C$4:$J$4,0))</f>
        <v/>
      </c>
      <c r="E31" s="227" t="str">
        <f t="shared" si="3"/>
        <v/>
      </c>
      <c r="F31" s="311">
        <f t="shared" si="2"/>
        <v>0</v>
      </c>
      <c r="G31" s="308" t="str">
        <f>IF($B31="","",INDEX('Portfolio Bucket'!$C$2:$I$69,MATCH($B31,'Portfolio Bucket'!$C$2:$C$69,0),MATCH($G$4,'Portfolio Bucket'!$C$2:$I$2,0)))</f>
        <v/>
      </c>
      <c r="H31" s="218">
        <f>INDEX('Price Inputs'!$C$4:$J$49,MATCH($B31,'Price Inputs'!$C$4:$C$49,0),MATCH(G$4,'Price Inputs'!$C$4:$J$4,0))</f>
        <v>0</v>
      </c>
      <c r="I31" s="219" t="str">
        <f t="shared" si="4"/>
        <v/>
      </c>
      <c r="J31" s="220">
        <f t="shared" si="5"/>
        <v>0</v>
      </c>
      <c r="K31" s="225" t="str">
        <f>IF($B31="","",INDEX('Portfolio Bucket'!$C$2:$I$69,MATCH($B31,'Portfolio Bucket'!$C$2:$C$69,0),MATCH($K$4,'Portfolio Bucket'!$C$2:$I$2,0)))</f>
        <v/>
      </c>
      <c r="L31" s="226">
        <f>INDEX('Price Inputs'!$C$4:$J$49,MATCH($B31,'Price Inputs'!$C$4:$C$49,0),MATCH(K$4,'Price Inputs'!$C$4:$J$4,0))</f>
        <v>0</v>
      </c>
      <c r="M31" s="227" t="str">
        <f t="shared" si="6"/>
        <v/>
      </c>
      <c r="N31" s="228">
        <f t="shared" si="7"/>
        <v>0</v>
      </c>
      <c r="O31" s="20" t="str">
        <f>IF($B31="","",INDEX('Portfolio Bucket'!$C$2:$I$69,MATCH($B31,'Portfolio Bucket'!$C$2:$C$69,0),MATCH($O$4,'Portfolio Bucket'!$C$2:$I$2,0)))</f>
        <v/>
      </c>
      <c r="P31" s="21">
        <f>INDEX('Price Inputs'!$C$4:$J$49,MATCH($B31,'Price Inputs'!$C$4:$C$49,0),MATCH(O$4,'Price Inputs'!$C$4:$J$4,0))</f>
        <v>0</v>
      </c>
      <c r="Q31" s="21" t="str">
        <f t="shared" si="8"/>
        <v/>
      </c>
      <c r="R31" s="48">
        <f t="shared" si="9"/>
        <v>0</v>
      </c>
      <c r="S31" s="225" t="str">
        <f>IF($B31="","",INDEX('Portfolio Bucket'!$C$2:$I$69,MATCH($B31,'Portfolio Bucket'!$C$2:$C$69,0),MATCH($S$4,'Portfolio Bucket'!$C$2:$I$2,0)))</f>
        <v/>
      </c>
      <c r="T31" s="226">
        <f>INDEX('Price Inputs'!$C$4:$J$49,MATCH($B31,'Price Inputs'!$C$4:$C$49,0),MATCH(S$4,'Price Inputs'!$C$4:$J$4,0))</f>
        <v>0</v>
      </c>
      <c r="U31" s="227" t="str">
        <f t="shared" si="10"/>
        <v/>
      </c>
      <c r="V31" s="228">
        <f t="shared" si="11"/>
        <v>0</v>
      </c>
      <c r="W31" s="217" t="str">
        <f>IF($B31="","",INDEX('Portfolio Bucket'!$C$2:$I$69,MATCH($B31,'Portfolio Bucket'!$C$2:$C$69,0),MATCH($W$4,'Portfolio Bucket'!$C$2:$I$2,0)))</f>
        <v/>
      </c>
      <c r="X31" s="218">
        <f>INDEX('Price Inputs'!$C$4:$J$49,MATCH($B31,'Price Inputs'!$C$4:$C$49,0),MATCH(W$4,'Price Inputs'!$C$4:$J$4,0))</f>
        <v>0</v>
      </c>
      <c r="Y31" s="219" t="str">
        <f t="shared" si="12"/>
        <v/>
      </c>
      <c r="Z31" s="220">
        <f t="shared" si="13"/>
        <v>0</v>
      </c>
    </row>
    <row r="32" spans="1:26" x14ac:dyDescent="0.2">
      <c r="A32">
        <v>25</v>
      </c>
      <c r="B32" t="str">
        <f>'Current Portfolio'!C34</f>
        <v/>
      </c>
      <c r="C32" s="307" t="str">
        <f>IF(B32="","",INDEX('Portfolio Bucket'!$C$2:$I$69,MATCH(B32,'Portfolio Bucket'!$C$2:$C$69,0),MATCH($C$4,'Portfolio Bucket'!$C$2:$I$2,0)))</f>
        <v/>
      </c>
      <c r="D32" s="226" t="str">
        <f>INDEX('Price Inputs'!$C$4:$J$49,MATCH($B32,'Price Inputs'!$C$4:$C$49,0),MATCH(C$4,'Price Inputs'!$C$4:$J$4,0))</f>
        <v/>
      </c>
      <c r="E32" s="227" t="str">
        <f t="shared" si="3"/>
        <v/>
      </c>
      <c r="F32" s="311">
        <f t="shared" si="2"/>
        <v>0</v>
      </c>
      <c r="G32" s="308" t="str">
        <f>IF($B32="","",INDEX('Portfolio Bucket'!$C$2:$I$69,MATCH($B32,'Portfolio Bucket'!$C$2:$C$69,0),MATCH($G$4,'Portfolio Bucket'!$C$2:$I$2,0)))</f>
        <v/>
      </c>
      <c r="H32" s="218">
        <f>INDEX('Price Inputs'!$C$4:$J$49,MATCH($B32,'Price Inputs'!$C$4:$C$49,0),MATCH(G$4,'Price Inputs'!$C$4:$J$4,0))</f>
        <v>0</v>
      </c>
      <c r="I32" s="219" t="str">
        <f t="shared" si="4"/>
        <v/>
      </c>
      <c r="J32" s="220">
        <f t="shared" si="5"/>
        <v>0</v>
      </c>
      <c r="K32" s="225" t="str">
        <f>IF($B32="","",INDEX('Portfolio Bucket'!$C$2:$I$69,MATCH($B32,'Portfolio Bucket'!$C$2:$C$69,0),MATCH($K$4,'Portfolio Bucket'!$C$2:$I$2,0)))</f>
        <v/>
      </c>
      <c r="L32" s="226">
        <f>INDEX('Price Inputs'!$C$4:$J$49,MATCH($B32,'Price Inputs'!$C$4:$C$49,0),MATCH(K$4,'Price Inputs'!$C$4:$J$4,0))</f>
        <v>0</v>
      </c>
      <c r="M32" s="227" t="str">
        <f t="shared" si="6"/>
        <v/>
      </c>
      <c r="N32" s="228">
        <f t="shared" si="7"/>
        <v>0</v>
      </c>
      <c r="O32" s="20" t="str">
        <f>IF($B32="","",INDEX('Portfolio Bucket'!$C$2:$I$69,MATCH($B32,'Portfolio Bucket'!$C$2:$C$69,0),MATCH($O$4,'Portfolio Bucket'!$C$2:$I$2,0)))</f>
        <v/>
      </c>
      <c r="P32" s="21">
        <f>INDEX('Price Inputs'!$C$4:$J$49,MATCH($B32,'Price Inputs'!$C$4:$C$49,0),MATCH(O$4,'Price Inputs'!$C$4:$J$4,0))</f>
        <v>0</v>
      </c>
      <c r="Q32" s="21" t="str">
        <f t="shared" si="8"/>
        <v/>
      </c>
      <c r="R32" s="48">
        <f t="shared" si="9"/>
        <v>0</v>
      </c>
      <c r="S32" s="225" t="str">
        <f>IF($B32="","",INDEX('Portfolio Bucket'!$C$2:$I$69,MATCH($B32,'Portfolio Bucket'!$C$2:$C$69,0),MATCH($S$4,'Portfolio Bucket'!$C$2:$I$2,0)))</f>
        <v/>
      </c>
      <c r="T32" s="226">
        <f>INDEX('Price Inputs'!$C$4:$J$49,MATCH($B32,'Price Inputs'!$C$4:$C$49,0),MATCH(S$4,'Price Inputs'!$C$4:$J$4,0))</f>
        <v>0</v>
      </c>
      <c r="U32" s="227" t="str">
        <f t="shared" si="10"/>
        <v/>
      </c>
      <c r="V32" s="228">
        <f t="shared" si="11"/>
        <v>0</v>
      </c>
      <c r="W32" s="217" t="str">
        <f>IF($B32="","",INDEX('Portfolio Bucket'!$C$2:$I$69,MATCH($B32,'Portfolio Bucket'!$C$2:$C$69,0),MATCH($W$4,'Portfolio Bucket'!$C$2:$I$2,0)))</f>
        <v/>
      </c>
      <c r="X32" s="218">
        <f>INDEX('Price Inputs'!$C$4:$J$49,MATCH($B32,'Price Inputs'!$C$4:$C$49,0),MATCH(W$4,'Price Inputs'!$C$4:$J$4,0))</f>
        <v>0</v>
      </c>
      <c r="Y32" s="219" t="str">
        <f t="shared" si="12"/>
        <v/>
      </c>
      <c r="Z32" s="220">
        <f t="shared" si="13"/>
        <v>0</v>
      </c>
    </row>
    <row r="33" spans="1:26" x14ac:dyDescent="0.2">
      <c r="A33">
        <v>26</v>
      </c>
      <c r="B33" t="str">
        <f>'Current Portfolio'!C35</f>
        <v/>
      </c>
      <c r="C33" s="307" t="str">
        <f>IF(B33="","",INDEX('Portfolio Bucket'!$C$2:$I$69,MATCH(B33,'Portfolio Bucket'!$C$2:$C$69,0),MATCH($C$4,'Portfolio Bucket'!$C$2:$I$2,0)))</f>
        <v/>
      </c>
      <c r="D33" s="226" t="str">
        <f>INDEX('Price Inputs'!$C$4:$J$49,MATCH($B33,'Price Inputs'!$C$4:$C$49,0),MATCH(C$4,'Price Inputs'!$C$4:$J$4,0))</f>
        <v/>
      </c>
      <c r="E33" s="227" t="str">
        <f t="shared" si="3"/>
        <v/>
      </c>
      <c r="F33" s="311">
        <f t="shared" si="2"/>
        <v>0</v>
      </c>
      <c r="G33" s="308" t="str">
        <f>IF($B33="","",INDEX('Portfolio Bucket'!$C$2:$I$69,MATCH($B33,'Portfolio Bucket'!$C$2:$C$69,0),MATCH($G$4,'Portfolio Bucket'!$C$2:$I$2,0)))</f>
        <v/>
      </c>
      <c r="H33" s="218">
        <f>INDEX('Price Inputs'!$C$4:$J$49,MATCH($B33,'Price Inputs'!$C$4:$C$49,0),MATCH(G$4,'Price Inputs'!$C$4:$J$4,0))</f>
        <v>0</v>
      </c>
      <c r="I33" s="219" t="str">
        <f t="shared" si="4"/>
        <v/>
      </c>
      <c r="J33" s="220">
        <f t="shared" si="5"/>
        <v>0</v>
      </c>
      <c r="K33" s="225" t="str">
        <f>IF($B33="","",INDEX('Portfolio Bucket'!$C$2:$I$69,MATCH($B33,'Portfolio Bucket'!$C$2:$C$69,0),MATCH($K$4,'Portfolio Bucket'!$C$2:$I$2,0)))</f>
        <v/>
      </c>
      <c r="L33" s="226">
        <f>INDEX('Price Inputs'!$C$4:$J$49,MATCH($B33,'Price Inputs'!$C$4:$C$49,0),MATCH(K$4,'Price Inputs'!$C$4:$J$4,0))</f>
        <v>0</v>
      </c>
      <c r="M33" s="227" t="str">
        <f t="shared" si="6"/>
        <v/>
      </c>
      <c r="N33" s="228">
        <f t="shared" si="7"/>
        <v>0</v>
      </c>
      <c r="O33" s="20" t="str">
        <f>IF($B33="","",INDEX('Portfolio Bucket'!$C$2:$I$69,MATCH($B33,'Portfolio Bucket'!$C$2:$C$69,0),MATCH($O$4,'Portfolio Bucket'!$C$2:$I$2,0)))</f>
        <v/>
      </c>
      <c r="P33" s="21">
        <f>INDEX('Price Inputs'!$C$4:$J$49,MATCH($B33,'Price Inputs'!$C$4:$C$49,0),MATCH(O$4,'Price Inputs'!$C$4:$J$4,0))</f>
        <v>0</v>
      </c>
      <c r="Q33" s="21" t="str">
        <f t="shared" si="8"/>
        <v/>
      </c>
      <c r="R33" s="48">
        <f t="shared" si="9"/>
        <v>0</v>
      </c>
      <c r="S33" s="225" t="str">
        <f>IF($B33="","",INDEX('Portfolio Bucket'!$C$2:$I$69,MATCH($B33,'Portfolio Bucket'!$C$2:$C$69,0),MATCH($S$4,'Portfolio Bucket'!$C$2:$I$2,0)))</f>
        <v/>
      </c>
      <c r="T33" s="226">
        <f>INDEX('Price Inputs'!$C$4:$J$49,MATCH($B33,'Price Inputs'!$C$4:$C$49,0),MATCH(S$4,'Price Inputs'!$C$4:$J$4,0))</f>
        <v>0</v>
      </c>
      <c r="U33" s="227" t="str">
        <f t="shared" si="10"/>
        <v/>
      </c>
      <c r="V33" s="228">
        <f t="shared" si="11"/>
        <v>0</v>
      </c>
      <c r="W33" s="217" t="str">
        <f>IF($B33="","",INDEX('Portfolio Bucket'!$C$2:$I$69,MATCH($B33,'Portfolio Bucket'!$C$2:$C$69,0),MATCH($W$4,'Portfolio Bucket'!$C$2:$I$2,0)))</f>
        <v/>
      </c>
      <c r="X33" s="218">
        <f>INDEX('Price Inputs'!$C$4:$J$49,MATCH($B33,'Price Inputs'!$C$4:$C$49,0),MATCH(W$4,'Price Inputs'!$C$4:$J$4,0))</f>
        <v>0</v>
      </c>
      <c r="Y33" s="219" t="str">
        <f t="shared" si="12"/>
        <v/>
      </c>
      <c r="Z33" s="220">
        <f t="shared" si="13"/>
        <v>0</v>
      </c>
    </row>
    <row r="34" spans="1:26" x14ac:dyDescent="0.2">
      <c r="A34">
        <v>27</v>
      </c>
      <c r="B34" t="str">
        <f>'Current Portfolio'!C36</f>
        <v/>
      </c>
      <c r="C34" s="307" t="str">
        <f>IF(B34="","",INDEX('Portfolio Bucket'!$C$2:$I$69,MATCH(B34,'Portfolio Bucket'!$C$2:$C$69,0),MATCH($C$4,'Portfolio Bucket'!$C$2:$I$2,0)))</f>
        <v/>
      </c>
      <c r="D34" s="226" t="str">
        <f>INDEX('Price Inputs'!$C$4:$J$49,MATCH($B34,'Price Inputs'!$C$4:$C$49,0),MATCH(C$4,'Price Inputs'!$C$4:$J$4,0))</f>
        <v/>
      </c>
      <c r="E34" s="227" t="str">
        <f t="shared" si="3"/>
        <v/>
      </c>
      <c r="F34" s="311">
        <f t="shared" si="2"/>
        <v>0</v>
      </c>
      <c r="G34" s="308" t="str">
        <f>IF($B34="","",INDEX('Portfolio Bucket'!$C$2:$I$69,MATCH($B34,'Portfolio Bucket'!$C$2:$C$69,0),MATCH($G$4,'Portfolio Bucket'!$C$2:$I$2,0)))</f>
        <v/>
      </c>
      <c r="H34" s="218">
        <f>INDEX('Price Inputs'!$C$4:$J$49,MATCH($B34,'Price Inputs'!$C$4:$C$49,0),MATCH(G$4,'Price Inputs'!$C$4:$J$4,0))</f>
        <v>0</v>
      </c>
      <c r="I34" s="219" t="str">
        <f t="shared" si="4"/>
        <v/>
      </c>
      <c r="J34" s="220">
        <f t="shared" si="5"/>
        <v>0</v>
      </c>
      <c r="K34" s="225" t="str">
        <f>IF($B34="","",INDEX('Portfolio Bucket'!$C$2:$I$69,MATCH($B34,'Portfolio Bucket'!$C$2:$C$69,0),MATCH($K$4,'Portfolio Bucket'!$C$2:$I$2,0)))</f>
        <v/>
      </c>
      <c r="L34" s="226">
        <f>INDEX('Price Inputs'!$C$4:$J$49,MATCH($B34,'Price Inputs'!$C$4:$C$49,0),MATCH(K$4,'Price Inputs'!$C$4:$J$4,0))</f>
        <v>0</v>
      </c>
      <c r="M34" s="227" t="str">
        <f t="shared" si="6"/>
        <v/>
      </c>
      <c r="N34" s="228">
        <f t="shared" si="7"/>
        <v>0</v>
      </c>
      <c r="O34" s="20" t="str">
        <f>IF($B34="","",INDEX('Portfolio Bucket'!$C$2:$I$69,MATCH($B34,'Portfolio Bucket'!$C$2:$C$69,0),MATCH($O$4,'Portfolio Bucket'!$C$2:$I$2,0)))</f>
        <v/>
      </c>
      <c r="P34" s="21">
        <f>INDEX('Price Inputs'!$C$4:$J$49,MATCH($B34,'Price Inputs'!$C$4:$C$49,0),MATCH(O$4,'Price Inputs'!$C$4:$J$4,0))</f>
        <v>0</v>
      </c>
      <c r="Q34" s="21" t="str">
        <f t="shared" si="8"/>
        <v/>
      </c>
      <c r="R34" s="48">
        <f t="shared" si="9"/>
        <v>0</v>
      </c>
      <c r="S34" s="225" t="str">
        <f>IF($B34="","",INDEX('Portfolio Bucket'!$C$2:$I$69,MATCH($B34,'Portfolio Bucket'!$C$2:$C$69,0),MATCH($S$4,'Portfolio Bucket'!$C$2:$I$2,0)))</f>
        <v/>
      </c>
      <c r="T34" s="226">
        <f>INDEX('Price Inputs'!$C$4:$J$49,MATCH($B34,'Price Inputs'!$C$4:$C$49,0),MATCH(S$4,'Price Inputs'!$C$4:$J$4,0))</f>
        <v>0</v>
      </c>
      <c r="U34" s="227" t="str">
        <f t="shared" si="10"/>
        <v/>
      </c>
      <c r="V34" s="228">
        <f t="shared" si="11"/>
        <v>0</v>
      </c>
      <c r="W34" s="217" t="str">
        <f>IF($B34="","",INDEX('Portfolio Bucket'!$C$2:$I$69,MATCH($B34,'Portfolio Bucket'!$C$2:$C$69,0),MATCH($W$4,'Portfolio Bucket'!$C$2:$I$2,0)))</f>
        <v/>
      </c>
      <c r="X34" s="218">
        <f>INDEX('Price Inputs'!$C$4:$J$49,MATCH($B34,'Price Inputs'!$C$4:$C$49,0),MATCH(W$4,'Price Inputs'!$C$4:$J$4,0))</f>
        <v>0</v>
      </c>
      <c r="Y34" s="219" t="str">
        <f t="shared" si="12"/>
        <v/>
      </c>
      <c r="Z34" s="220">
        <f t="shared" si="13"/>
        <v>0</v>
      </c>
    </row>
    <row r="35" spans="1:26" x14ac:dyDescent="0.2">
      <c r="A35">
        <v>28</v>
      </c>
      <c r="B35" t="str">
        <f>'Current Portfolio'!C37</f>
        <v/>
      </c>
      <c r="C35" s="307" t="str">
        <f>IF(B35="","",INDEX('Portfolio Bucket'!$C$2:$I$69,MATCH(B35,'Portfolio Bucket'!$C$2:$C$69,0),MATCH($C$4,'Portfolio Bucket'!$C$2:$I$2,0)))</f>
        <v/>
      </c>
      <c r="D35" s="226" t="str">
        <f>INDEX('Price Inputs'!$C$4:$J$49,MATCH($B35,'Price Inputs'!$C$4:$C$49,0),MATCH(C$4,'Price Inputs'!$C$4:$J$4,0))</f>
        <v/>
      </c>
      <c r="E35" s="227" t="str">
        <f t="shared" si="3"/>
        <v/>
      </c>
      <c r="F35" s="311">
        <f t="shared" si="2"/>
        <v>0</v>
      </c>
      <c r="G35" s="308" t="str">
        <f>IF($B35="","",INDEX('Portfolio Bucket'!$C$2:$I$69,MATCH($B35,'Portfolio Bucket'!$C$2:$C$69,0),MATCH($G$4,'Portfolio Bucket'!$C$2:$I$2,0)))</f>
        <v/>
      </c>
      <c r="H35" s="218">
        <f>INDEX('Price Inputs'!$C$4:$J$49,MATCH($B35,'Price Inputs'!$C$4:$C$49,0),MATCH(G$4,'Price Inputs'!$C$4:$J$4,0))</f>
        <v>0</v>
      </c>
      <c r="I35" s="219" t="str">
        <f t="shared" si="4"/>
        <v/>
      </c>
      <c r="J35" s="220">
        <f t="shared" si="5"/>
        <v>0</v>
      </c>
      <c r="K35" s="225" t="str">
        <f>IF($B35="","",INDEX('Portfolio Bucket'!$C$2:$I$69,MATCH($B35,'Portfolio Bucket'!$C$2:$C$69,0),MATCH($K$4,'Portfolio Bucket'!$C$2:$I$2,0)))</f>
        <v/>
      </c>
      <c r="L35" s="226">
        <f>INDEX('Price Inputs'!$C$4:$J$49,MATCH($B35,'Price Inputs'!$C$4:$C$49,0),MATCH(K$4,'Price Inputs'!$C$4:$J$4,0))</f>
        <v>0</v>
      </c>
      <c r="M35" s="227" t="str">
        <f t="shared" si="6"/>
        <v/>
      </c>
      <c r="N35" s="228">
        <f t="shared" si="7"/>
        <v>0</v>
      </c>
      <c r="O35" s="20" t="str">
        <f>IF($B35="","",INDEX('Portfolio Bucket'!$C$2:$I$69,MATCH($B35,'Portfolio Bucket'!$C$2:$C$69,0),MATCH($O$4,'Portfolio Bucket'!$C$2:$I$2,0)))</f>
        <v/>
      </c>
      <c r="P35" s="21">
        <f>INDEX('Price Inputs'!$C$4:$J$49,MATCH($B35,'Price Inputs'!$C$4:$C$49,0),MATCH(O$4,'Price Inputs'!$C$4:$J$4,0))</f>
        <v>0</v>
      </c>
      <c r="Q35" s="21" t="str">
        <f t="shared" si="8"/>
        <v/>
      </c>
      <c r="R35" s="48">
        <f t="shared" si="9"/>
        <v>0</v>
      </c>
      <c r="S35" s="225" t="str">
        <f>IF($B35="","",INDEX('Portfolio Bucket'!$C$2:$I$69,MATCH($B35,'Portfolio Bucket'!$C$2:$C$69,0),MATCH($S$4,'Portfolio Bucket'!$C$2:$I$2,0)))</f>
        <v/>
      </c>
      <c r="T35" s="226">
        <f>INDEX('Price Inputs'!$C$4:$J$49,MATCH($B35,'Price Inputs'!$C$4:$C$49,0),MATCH(S$4,'Price Inputs'!$C$4:$J$4,0))</f>
        <v>0</v>
      </c>
      <c r="U35" s="227" t="str">
        <f t="shared" si="10"/>
        <v/>
      </c>
      <c r="V35" s="228">
        <f t="shared" si="11"/>
        <v>0</v>
      </c>
      <c r="W35" s="217" t="str">
        <f>IF($B35="","",INDEX('Portfolio Bucket'!$C$2:$I$69,MATCH($B35,'Portfolio Bucket'!$C$2:$C$69,0),MATCH($W$4,'Portfolio Bucket'!$C$2:$I$2,0)))</f>
        <v/>
      </c>
      <c r="X35" s="218">
        <f>INDEX('Price Inputs'!$C$4:$J$49,MATCH($B35,'Price Inputs'!$C$4:$C$49,0),MATCH(W$4,'Price Inputs'!$C$4:$J$4,0))</f>
        <v>0</v>
      </c>
      <c r="Y35" s="219" t="str">
        <f t="shared" si="12"/>
        <v/>
      </c>
      <c r="Z35" s="220">
        <f t="shared" si="13"/>
        <v>0</v>
      </c>
    </row>
    <row r="36" spans="1:26" x14ac:dyDescent="0.2">
      <c r="A36">
        <v>29</v>
      </c>
      <c r="B36" t="str">
        <f>'Current Portfolio'!C38</f>
        <v/>
      </c>
      <c r="C36" s="307" t="str">
        <f>IF(B36="","",INDEX('Portfolio Bucket'!$C$2:$I$69,MATCH(B36,'Portfolio Bucket'!$C$2:$C$69,0),MATCH($C$4,'Portfolio Bucket'!$C$2:$I$2,0)))</f>
        <v/>
      </c>
      <c r="D36" s="226" t="str">
        <f>INDEX('Price Inputs'!$C$4:$J$49,MATCH($B36,'Price Inputs'!$C$4:$C$49,0),MATCH(C$4,'Price Inputs'!$C$4:$J$4,0))</f>
        <v/>
      </c>
      <c r="E36" s="227" t="str">
        <f t="shared" si="3"/>
        <v/>
      </c>
      <c r="F36" s="311">
        <f t="shared" si="2"/>
        <v>0</v>
      </c>
      <c r="G36" s="308" t="str">
        <f>IF($B36="","",INDEX('Portfolio Bucket'!$C$2:$I$69,MATCH($B36,'Portfolio Bucket'!$C$2:$C$69,0),MATCH($G$4,'Portfolio Bucket'!$C$2:$I$2,0)))</f>
        <v/>
      </c>
      <c r="H36" s="218">
        <f>INDEX('Price Inputs'!$C$4:$J$49,MATCH($B36,'Price Inputs'!$C$4:$C$49,0),MATCH(G$4,'Price Inputs'!$C$4:$J$4,0))</f>
        <v>0</v>
      </c>
      <c r="I36" s="219" t="str">
        <f t="shared" si="4"/>
        <v/>
      </c>
      <c r="J36" s="220">
        <f t="shared" si="5"/>
        <v>0</v>
      </c>
      <c r="K36" s="225" t="str">
        <f>IF($B36="","",INDEX('Portfolio Bucket'!$C$2:$I$69,MATCH($B36,'Portfolio Bucket'!$C$2:$C$69,0),MATCH($K$4,'Portfolio Bucket'!$C$2:$I$2,0)))</f>
        <v/>
      </c>
      <c r="L36" s="226">
        <f>INDEX('Price Inputs'!$C$4:$J$49,MATCH($B36,'Price Inputs'!$C$4:$C$49,0),MATCH(K$4,'Price Inputs'!$C$4:$J$4,0))</f>
        <v>0</v>
      </c>
      <c r="M36" s="227" t="str">
        <f t="shared" si="6"/>
        <v/>
      </c>
      <c r="N36" s="228">
        <f t="shared" si="7"/>
        <v>0</v>
      </c>
      <c r="O36" s="20" t="str">
        <f>IF($B36="","",INDEX('Portfolio Bucket'!$C$2:$I$69,MATCH($B36,'Portfolio Bucket'!$C$2:$C$69,0),MATCH($O$4,'Portfolio Bucket'!$C$2:$I$2,0)))</f>
        <v/>
      </c>
      <c r="P36" s="21">
        <f>INDEX('Price Inputs'!$C$4:$J$49,MATCH($B36,'Price Inputs'!$C$4:$C$49,0),MATCH(O$4,'Price Inputs'!$C$4:$J$4,0))</f>
        <v>0</v>
      </c>
      <c r="Q36" s="21" t="str">
        <f t="shared" si="8"/>
        <v/>
      </c>
      <c r="R36" s="48">
        <f t="shared" si="9"/>
        <v>0</v>
      </c>
      <c r="S36" s="225" t="str">
        <f>IF($B36="","",INDEX('Portfolio Bucket'!$C$2:$I$69,MATCH($B36,'Portfolio Bucket'!$C$2:$C$69,0),MATCH($S$4,'Portfolio Bucket'!$C$2:$I$2,0)))</f>
        <v/>
      </c>
      <c r="T36" s="226">
        <f>INDEX('Price Inputs'!$C$4:$J$49,MATCH($B36,'Price Inputs'!$C$4:$C$49,0),MATCH(S$4,'Price Inputs'!$C$4:$J$4,0))</f>
        <v>0</v>
      </c>
      <c r="U36" s="227" t="str">
        <f t="shared" si="10"/>
        <v/>
      </c>
      <c r="V36" s="228">
        <f t="shared" si="11"/>
        <v>0</v>
      </c>
      <c r="W36" s="217" t="str">
        <f>IF($B36="","",INDEX('Portfolio Bucket'!$C$2:$I$69,MATCH($B36,'Portfolio Bucket'!$C$2:$C$69,0),MATCH($W$4,'Portfolio Bucket'!$C$2:$I$2,0)))</f>
        <v/>
      </c>
      <c r="X36" s="218">
        <f>INDEX('Price Inputs'!$C$4:$J$49,MATCH($B36,'Price Inputs'!$C$4:$C$49,0),MATCH(W$4,'Price Inputs'!$C$4:$J$4,0))</f>
        <v>0</v>
      </c>
      <c r="Y36" s="219" t="str">
        <f t="shared" si="12"/>
        <v/>
      </c>
      <c r="Z36" s="220">
        <f t="shared" si="13"/>
        <v>0</v>
      </c>
    </row>
    <row r="37" spans="1:26" x14ac:dyDescent="0.2">
      <c r="A37">
        <v>30</v>
      </c>
      <c r="B37" t="str">
        <f>'Current Portfolio'!C39</f>
        <v/>
      </c>
      <c r="C37" s="307" t="str">
        <f>IF(B37="","",INDEX('Portfolio Bucket'!$C$2:$I$69,MATCH(B37,'Portfolio Bucket'!$C$2:$C$69,0),MATCH($C$4,'Portfolio Bucket'!$C$2:$I$2,0)))</f>
        <v/>
      </c>
      <c r="D37" s="226" t="str">
        <f>INDEX('Price Inputs'!$C$4:$J$49,MATCH($B37,'Price Inputs'!$C$4:$C$49,0),MATCH(C$4,'Price Inputs'!$C$4:$J$4,0))</f>
        <v/>
      </c>
      <c r="E37" s="227" t="str">
        <f t="shared" si="3"/>
        <v/>
      </c>
      <c r="F37" s="311">
        <f t="shared" si="2"/>
        <v>0</v>
      </c>
      <c r="G37" s="308" t="str">
        <f>IF($B37="","",INDEX('Portfolio Bucket'!$C$2:$I$69,MATCH($B37,'Portfolio Bucket'!$C$2:$C$69,0),MATCH($G$4,'Portfolio Bucket'!$C$2:$I$2,0)))</f>
        <v/>
      </c>
      <c r="H37" s="218">
        <f>INDEX('Price Inputs'!$C$4:$J$49,MATCH($B37,'Price Inputs'!$C$4:$C$49,0),MATCH(G$4,'Price Inputs'!$C$4:$J$4,0))</f>
        <v>0</v>
      </c>
      <c r="I37" s="219" t="str">
        <f t="shared" si="4"/>
        <v/>
      </c>
      <c r="J37" s="220">
        <f t="shared" si="5"/>
        <v>0</v>
      </c>
      <c r="K37" s="225" t="str">
        <f>IF($B37="","",INDEX('Portfolio Bucket'!$C$2:$I$69,MATCH($B37,'Portfolio Bucket'!$C$2:$C$69,0),MATCH($K$4,'Portfolio Bucket'!$C$2:$I$2,0)))</f>
        <v/>
      </c>
      <c r="L37" s="226">
        <f>INDEX('Price Inputs'!$C$4:$J$49,MATCH($B37,'Price Inputs'!$C$4:$C$49,0),MATCH(K$4,'Price Inputs'!$C$4:$J$4,0))</f>
        <v>0</v>
      </c>
      <c r="M37" s="227" t="str">
        <f t="shared" si="6"/>
        <v/>
      </c>
      <c r="N37" s="228">
        <f t="shared" si="7"/>
        <v>0</v>
      </c>
      <c r="O37" s="20" t="str">
        <f>IF($B37="","",INDEX('Portfolio Bucket'!$C$2:$I$69,MATCH($B37,'Portfolio Bucket'!$C$2:$C$69,0),MATCH($O$4,'Portfolio Bucket'!$C$2:$I$2,0)))</f>
        <v/>
      </c>
      <c r="P37" s="21">
        <f>INDEX('Price Inputs'!$C$4:$J$49,MATCH($B37,'Price Inputs'!$C$4:$C$49,0),MATCH(O$4,'Price Inputs'!$C$4:$J$4,0))</f>
        <v>0</v>
      </c>
      <c r="Q37" s="21" t="str">
        <f t="shared" si="8"/>
        <v/>
      </c>
      <c r="R37" s="48">
        <f t="shared" si="9"/>
        <v>0</v>
      </c>
      <c r="S37" s="225" t="str">
        <f>IF($B37="","",INDEX('Portfolio Bucket'!$C$2:$I$69,MATCH($B37,'Portfolio Bucket'!$C$2:$C$69,0),MATCH($S$4,'Portfolio Bucket'!$C$2:$I$2,0)))</f>
        <v/>
      </c>
      <c r="T37" s="226">
        <f>INDEX('Price Inputs'!$C$4:$J$49,MATCH($B37,'Price Inputs'!$C$4:$C$49,0),MATCH(S$4,'Price Inputs'!$C$4:$J$4,0))</f>
        <v>0</v>
      </c>
      <c r="U37" s="227" t="str">
        <f t="shared" si="10"/>
        <v/>
      </c>
      <c r="V37" s="228">
        <f t="shared" si="11"/>
        <v>0</v>
      </c>
      <c r="W37" s="217" t="str">
        <f>IF($B37="","",INDEX('Portfolio Bucket'!$C$2:$I$69,MATCH($B37,'Portfolio Bucket'!$C$2:$C$69,0),MATCH($W$4,'Portfolio Bucket'!$C$2:$I$2,0)))</f>
        <v/>
      </c>
      <c r="X37" s="218">
        <f>INDEX('Price Inputs'!$C$4:$J$49,MATCH($B37,'Price Inputs'!$C$4:$C$49,0),MATCH(W$4,'Price Inputs'!$C$4:$J$4,0))</f>
        <v>0</v>
      </c>
      <c r="Y37" s="219" t="str">
        <f t="shared" si="12"/>
        <v/>
      </c>
      <c r="Z37" s="220">
        <f t="shared" si="13"/>
        <v>0</v>
      </c>
    </row>
    <row r="38" spans="1:26" x14ac:dyDescent="0.2">
      <c r="A38">
        <v>31</v>
      </c>
      <c r="B38" t="str">
        <f>'Current Portfolio'!C40</f>
        <v/>
      </c>
      <c r="C38" s="307" t="str">
        <f>IF(B38="","",INDEX('Portfolio Bucket'!$C$2:$I$69,MATCH(B38,'Portfolio Bucket'!$C$2:$C$69,0),MATCH($C$4,'Portfolio Bucket'!$C$2:$I$2,0)))</f>
        <v/>
      </c>
      <c r="D38" s="226" t="str">
        <f>INDEX('Price Inputs'!$C$4:$J$49,MATCH($B38,'Price Inputs'!$C$4:$C$49,0),MATCH(C$4,'Price Inputs'!$C$4:$J$4,0))</f>
        <v/>
      </c>
      <c r="E38" s="227" t="str">
        <f t="shared" si="3"/>
        <v/>
      </c>
      <c r="F38" s="311">
        <f t="shared" si="2"/>
        <v>0</v>
      </c>
      <c r="G38" s="308" t="str">
        <f>IF($B38="","",INDEX('Portfolio Bucket'!$C$2:$I$69,MATCH($B38,'Portfolio Bucket'!$C$2:$C$69,0),MATCH($G$4,'Portfolio Bucket'!$C$2:$I$2,0)))</f>
        <v/>
      </c>
      <c r="H38" s="218">
        <f>INDEX('Price Inputs'!$C$4:$J$49,MATCH($B38,'Price Inputs'!$C$4:$C$49,0),MATCH(G$4,'Price Inputs'!$C$4:$J$4,0))</f>
        <v>0</v>
      </c>
      <c r="I38" s="219" t="str">
        <f t="shared" si="4"/>
        <v/>
      </c>
      <c r="J38" s="220">
        <f t="shared" si="5"/>
        <v>0</v>
      </c>
      <c r="K38" s="225" t="str">
        <f>IF($B38="","",INDEX('Portfolio Bucket'!$C$2:$I$69,MATCH($B38,'Portfolio Bucket'!$C$2:$C$69,0),MATCH($K$4,'Portfolio Bucket'!$C$2:$I$2,0)))</f>
        <v/>
      </c>
      <c r="L38" s="226">
        <f>INDEX('Price Inputs'!$C$4:$J$49,MATCH($B38,'Price Inputs'!$C$4:$C$49,0),MATCH(K$4,'Price Inputs'!$C$4:$J$4,0))</f>
        <v>0</v>
      </c>
      <c r="M38" s="227" t="str">
        <f t="shared" si="6"/>
        <v/>
      </c>
      <c r="N38" s="228">
        <f t="shared" si="7"/>
        <v>0</v>
      </c>
      <c r="O38" s="20" t="str">
        <f>IF($B38="","",INDEX('Portfolio Bucket'!$C$2:$I$69,MATCH($B38,'Portfolio Bucket'!$C$2:$C$69,0),MATCH($O$4,'Portfolio Bucket'!$C$2:$I$2,0)))</f>
        <v/>
      </c>
      <c r="P38" s="21">
        <f>INDEX('Price Inputs'!$C$4:$J$49,MATCH($B38,'Price Inputs'!$C$4:$C$49,0),MATCH(O$4,'Price Inputs'!$C$4:$J$4,0))</f>
        <v>0</v>
      </c>
      <c r="Q38" s="21" t="str">
        <f t="shared" si="8"/>
        <v/>
      </c>
      <c r="R38" s="48">
        <f t="shared" si="9"/>
        <v>0</v>
      </c>
      <c r="S38" s="225" t="str">
        <f>IF($B38="","",INDEX('Portfolio Bucket'!$C$2:$I$69,MATCH($B38,'Portfolio Bucket'!$C$2:$C$69,0),MATCH($S$4,'Portfolio Bucket'!$C$2:$I$2,0)))</f>
        <v/>
      </c>
      <c r="T38" s="226">
        <f>INDEX('Price Inputs'!$C$4:$J$49,MATCH($B38,'Price Inputs'!$C$4:$C$49,0),MATCH(S$4,'Price Inputs'!$C$4:$J$4,0))</f>
        <v>0</v>
      </c>
      <c r="U38" s="227" t="str">
        <f t="shared" si="10"/>
        <v/>
      </c>
      <c r="V38" s="228">
        <f t="shared" si="11"/>
        <v>0</v>
      </c>
      <c r="W38" s="217" t="str">
        <f>IF($B38="","",INDEX('Portfolio Bucket'!$C$2:$I$69,MATCH($B38,'Portfolio Bucket'!$C$2:$C$69,0),MATCH($W$4,'Portfolio Bucket'!$C$2:$I$2,0)))</f>
        <v/>
      </c>
      <c r="X38" s="218">
        <f>INDEX('Price Inputs'!$C$4:$J$49,MATCH($B38,'Price Inputs'!$C$4:$C$49,0),MATCH(W$4,'Price Inputs'!$C$4:$J$4,0))</f>
        <v>0</v>
      </c>
      <c r="Y38" s="219" t="str">
        <f t="shared" si="12"/>
        <v/>
      </c>
      <c r="Z38" s="220">
        <f t="shared" si="13"/>
        <v>0</v>
      </c>
    </row>
    <row r="39" spans="1:26" x14ac:dyDescent="0.2">
      <c r="C39" s="210"/>
      <c r="D39" s="193" t="s">
        <v>167</v>
      </c>
      <c r="E39" s="309">
        <f>SUM(E8:E38)</f>
        <v>1000000</v>
      </c>
      <c r="F39" s="310">
        <f>E39/$C$5</f>
        <v>1</v>
      </c>
      <c r="G39" s="126"/>
      <c r="H39" s="126" t="s">
        <v>167</v>
      </c>
      <c r="I39" s="127">
        <f>SUM(I8:I38)</f>
        <v>1017370.3500000001</v>
      </c>
      <c r="J39" s="128">
        <f>I39/$G$5</f>
        <v>1</v>
      </c>
      <c r="K39" s="126"/>
      <c r="L39" s="126" t="s">
        <v>167</v>
      </c>
      <c r="M39" s="127">
        <f>SUM(M8:M38)</f>
        <v>1017348.8899999999</v>
      </c>
      <c r="N39" s="128">
        <f>M39/$K$5</f>
        <v>1</v>
      </c>
      <c r="O39" s="126"/>
      <c r="P39" s="126" t="s">
        <v>167</v>
      </c>
      <c r="Q39" s="127">
        <f>SUM(Q8:Q38)</f>
        <v>1015937</v>
      </c>
      <c r="R39" s="128">
        <f>Q39/$O$5</f>
        <v>1</v>
      </c>
      <c r="S39" s="126"/>
      <c r="T39" s="126" t="s">
        <v>167</v>
      </c>
      <c r="U39" s="129">
        <f>SUM(U8:U38)</f>
        <v>1018549.53</v>
      </c>
      <c r="V39" s="128">
        <f>U39/$S$5</f>
        <v>1</v>
      </c>
      <c r="W39" s="126"/>
      <c r="X39" s="126" t="s">
        <v>167</v>
      </c>
      <c r="Y39" s="129">
        <f>SUM(Y8:Y38)</f>
        <v>1031468.11</v>
      </c>
      <c r="Z39" s="130">
        <f>Y39/$W$5</f>
        <v>1</v>
      </c>
    </row>
    <row r="46" spans="1:26" x14ac:dyDescent="0.2">
      <c r="C46" s="33"/>
      <c r="D46" s="33"/>
      <c r="E46" s="33"/>
      <c r="F46" s="33"/>
      <c r="G46" s="33"/>
    </row>
    <row r="47" spans="1:26" x14ac:dyDescent="0.2">
      <c r="C47" s="1" t="s">
        <v>329</v>
      </c>
      <c r="D47" s="1" t="s">
        <v>315</v>
      </c>
      <c r="E47" s="1" t="s">
        <v>316</v>
      </c>
      <c r="F47" s="1" t="s">
        <v>317</v>
      </c>
      <c r="G47" s="1" t="s">
        <v>318</v>
      </c>
      <c r="H47" s="1" t="s">
        <v>319</v>
      </c>
      <c r="I47" s="1" t="s">
        <v>330</v>
      </c>
    </row>
    <row r="48" spans="1:26" x14ac:dyDescent="0.2">
      <c r="A48">
        <f>A8</f>
        <v>1</v>
      </c>
      <c r="B48" t="str">
        <f>B8</f>
        <v>Cash</v>
      </c>
      <c r="C48" s="34">
        <f>F8</f>
        <v>1</v>
      </c>
      <c r="D48" s="34">
        <f>J8</f>
        <v>9.8620428637417792E-3</v>
      </c>
      <c r="E48" s="34">
        <f>N8</f>
        <v>9.8545839077880046E-3</v>
      </c>
      <c r="F48" s="34">
        <f>R8</f>
        <v>9.8682792338501187E-3</v>
      </c>
      <c r="G48" s="34">
        <f>V8</f>
        <v>9.8429675776297177E-3</v>
      </c>
      <c r="H48" s="34">
        <f>Z8</f>
        <v>9.7196897342759232E-3</v>
      </c>
      <c r="I48" s="34">
        <f>AVERAGE(C48:H48)</f>
        <v>0.17485792721954754</v>
      </c>
    </row>
    <row r="49" spans="1:9" x14ac:dyDescent="0.2">
      <c r="A49">
        <f t="shared" ref="A49:B77" si="14">A9</f>
        <v>2</v>
      </c>
      <c r="B49" t="str">
        <f t="shared" si="14"/>
        <v>BWX</v>
      </c>
      <c r="C49" s="34">
        <f t="shared" ref="C49:C77" si="15">F9</f>
        <v>0</v>
      </c>
      <c r="D49" s="34">
        <f t="shared" ref="D49:D77" si="16">J9</f>
        <v>0.29528460309463506</v>
      </c>
      <c r="E49" s="34">
        <f t="shared" ref="E49:E77" si="17">N9</f>
        <v>0.29459368653756535</v>
      </c>
      <c r="F49" s="34">
        <f t="shared" ref="F49:F77" si="18">R9</f>
        <v>0.29380632854202576</v>
      </c>
      <c r="G49" s="34">
        <f t="shared" ref="G49:G77" si="19">V9</f>
        <v>0.29126218339131726</v>
      </c>
      <c r="H49" s="34">
        <f t="shared" ref="H49:H77" si="20">Z9</f>
        <v>0.29026646301260833</v>
      </c>
      <c r="I49" s="34">
        <f t="shared" ref="I49:I77" si="21">AVERAGE(C49:H49)</f>
        <v>0.24420221076302531</v>
      </c>
    </row>
    <row r="50" spans="1:9" x14ac:dyDescent="0.2">
      <c r="A50">
        <f t="shared" si="14"/>
        <v>3</v>
      </c>
      <c r="B50" t="str">
        <f t="shared" si="14"/>
        <v>EZU</v>
      </c>
      <c r="C50" s="34">
        <f t="shared" si="15"/>
        <v>0</v>
      </c>
      <c r="D50" s="34">
        <f t="shared" si="16"/>
        <v>0</v>
      </c>
      <c r="E50" s="34">
        <f t="shared" si="17"/>
        <v>0.19213880500719868</v>
      </c>
      <c r="F50" s="34">
        <f t="shared" si="18"/>
        <v>0.19357192424333397</v>
      </c>
      <c r="G50" s="34">
        <f t="shared" si="19"/>
        <v>0.19610780243548884</v>
      </c>
      <c r="H50" s="34">
        <f t="shared" si="20"/>
        <v>0.1966050409449886</v>
      </c>
      <c r="I50" s="34">
        <f t="shared" si="21"/>
        <v>0.12973726210516834</v>
      </c>
    </row>
    <row r="51" spans="1:9" x14ac:dyDescent="0.2">
      <c r="A51">
        <f t="shared" si="14"/>
        <v>4</v>
      </c>
      <c r="B51" t="str">
        <f t="shared" si="14"/>
        <v>IAU</v>
      </c>
      <c r="C51" s="34">
        <f t="shared" si="15"/>
        <v>0</v>
      </c>
      <c r="D51" s="34">
        <f t="shared" si="16"/>
        <v>0.33957168105007191</v>
      </c>
      <c r="E51" s="34">
        <f t="shared" si="17"/>
        <v>0.34309030405488528</v>
      </c>
      <c r="F51" s="34">
        <f t="shared" si="18"/>
        <v>0.34129183207226432</v>
      </c>
      <c r="G51" s="34">
        <f t="shared" si="19"/>
        <v>0.33959118316023373</v>
      </c>
      <c r="H51" s="34">
        <f t="shared" si="20"/>
        <v>0.338393922813571</v>
      </c>
      <c r="I51" s="34">
        <f t="shared" si="21"/>
        <v>0.28365648719183773</v>
      </c>
    </row>
    <row r="52" spans="1:9" x14ac:dyDescent="0.2">
      <c r="A52">
        <f t="shared" si="14"/>
        <v>5</v>
      </c>
      <c r="B52" t="str">
        <f t="shared" si="14"/>
        <v>VTI</v>
      </c>
      <c r="C52" s="34">
        <f t="shared" si="15"/>
        <v>0</v>
      </c>
      <c r="D52" s="34">
        <f t="shared" si="16"/>
        <v>0.35528167299155117</v>
      </c>
      <c r="E52" s="34">
        <f t="shared" si="17"/>
        <v>0.16032262049256277</v>
      </c>
      <c r="F52" s="34">
        <f t="shared" si="18"/>
        <v>0.16146163590852583</v>
      </c>
      <c r="G52" s="34">
        <f t="shared" si="19"/>
        <v>0.16319586343533043</v>
      </c>
      <c r="H52" s="34">
        <f t="shared" si="20"/>
        <v>0.16501488349455612</v>
      </c>
      <c r="I52" s="34">
        <f t="shared" si="21"/>
        <v>0.16754611272042105</v>
      </c>
    </row>
    <row r="53" spans="1:9" x14ac:dyDescent="0.2">
      <c r="A53">
        <f t="shared" si="14"/>
        <v>6</v>
      </c>
      <c r="B53" t="str">
        <f t="shared" si="14"/>
        <v/>
      </c>
      <c r="C53" s="34">
        <f t="shared" si="15"/>
        <v>0</v>
      </c>
      <c r="D53" s="34">
        <f t="shared" si="16"/>
        <v>0</v>
      </c>
      <c r="E53" s="34">
        <f t="shared" si="17"/>
        <v>0</v>
      </c>
      <c r="F53" s="34">
        <f t="shared" si="18"/>
        <v>0</v>
      </c>
      <c r="G53" s="34">
        <f t="shared" si="19"/>
        <v>0</v>
      </c>
      <c r="H53" s="34">
        <f t="shared" si="20"/>
        <v>0</v>
      </c>
      <c r="I53" s="34">
        <f t="shared" si="21"/>
        <v>0</v>
      </c>
    </row>
    <row r="54" spans="1:9" x14ac:dyDescent="0.2">
      <c r="A54">
        <f t="shared" si="14"/>
        <v>7</v>
      </c>
      <c r="B54" t="str">
        <f t="shared" si="14"/>
        <v/>
      </c>
      <c r="C54" s="34">
        <f t="shared" si="15"/>
        <v>0</v>
      </c>
      <c r="D54" s="34">
        <f t="shared" si="16"/>
        <v>0</v>
      </c>
      <c r="E54" s="34">
        <f t="shared" si="17"/>
        <v>0</v>
      </c>
      <c r="F54" s="34">
        <f t="shared" si="18"/>
        <v>0</v>
      </c>
      <c r="G54" s="34">
        <f t="shared" si="19"/>
        <v>0</v>
      </c>
      <c r="H54" s="34">
        <f t="shared" si="20"/>
        <v>0</v>
      </c>
      <c r="I54" s="34">
        <f t="shared" si="21"/>
        <v>0</v>
      </c>
    </row>
    <row r="55" spans="1:9" x14ac:dyDescent="0.2">
      <c r="A55">
        <f t="shared" si="14"/>
        <v>8</v>
      </c>
      <c r="B55" t="str">
        <f t="shared" si="14"/>
        <v/>
      </c>
      <c r="C55" s="34">
        <f t="shared" si="15"/>
        <v>0</v>
      </c>
      <c r="D55" s="34">
        <f t="shared" si="16"/>
        <v>0</v>
      </c>
      <c r="E55" s="34">
        <f t="shared" si="17"/>
        <v>0</v>
      </c>
      <c r="F55" s="34">
        <f t="shared" si="18"/>
        <v>0</v>
      </c>
      <c r="G55" s="34">
        <f t="shared" si="19"/>
        <v>0</v>
      </c>
      <c r="H55" s="34">
        <f t="shared" si="20"/>
        <v>0</v>
      </c>
      <c r="I55" s="34">
        <f t="shared" si="21"/>
        <v>0</v>
      </c>
    </row>
    <row r="56" spans="1:9" x14ac:dyDescent="0.2">
      <c r="A56">
        <f t="shared" si="14"/>
        <v>9</v>
      </c>
      <c r="B56" t="str">
        <f t="shared" si="14"/>
        <v/>
      </c>
      <c r="C56" s="34">
        <f t="shared" si="15"/>
        <v>0</v>
      </c>
      <c r="D56" s="34">
        <f t="shared" si="16"/>
        <v>0</v>
      </c>
      <c r="E56" s="34">
        <f t="shared" si="17"/>
        <v>0</v>
      </c>
      <c r="F56" s="34">
        <f t="shared" si="18"/>
        <v>0</v>
      </c>
      <c r="G56" s="34">
        <f t="shared" si="19"/>
        <v>0</v>
      </c>
      <c r="H56" s="34">
        <f t="shared" si="20"/>
        <v>0</v>
      </c>
      <c r="I56" s="34">
        <f t="shared" si="21"/>
        <v>0</v>
      </c>
    </row>
    <row r="57" spans="1:9" x14ac:dyDescent="0.2">
      <c r="A57">
        <f t="shared" si="14"/>
        <v>10</v>
      </c>
      <c r="B57" t="str">
        <f t="shared" si="14"/>
        <v/>
      </c>
      <c r="C57" s="34">
        <f t="shared" si="15"/>
        <v>0</v>
      </c>
      <c r="D57" s="34">
        <f t="shared" si="16"/>
        <v>0</v>
      </c>
      <c r="E57" s="34">
        <f t="shared" si="17"/>
        <v>0</v>
      </c>
      <c r="F57" s="34">
        <f t="shared" si="18"/>
        <v>0</v>
      </c>
      <c r="G57" s="34">
        <f t="shared" si="19"/>
        <v>0</v>
      </c>
      <c r="H57" s="34">
        <f t="shared" si="20"/>
        <v>0</v>
      </c>
      <c r="I57" s="34">
        <f t="shared" si="21"/>
        <v>0</v>
      </c>
    </row>
    <row r="58" spans="1:9" x14ac:dyDescent="0.2">
      <c r="A58">
        <f t="shared" si="14"/>
        <v>11</v>
      </c>
      <c r="B58" t="str">
        <f t="shared" si="14"/>
        <v/>
      </c>
      <c r="C58" s="34">
        <f t="shared" si="15"/>
        <v>0</v>
      </c>
      <c r="D58" s="34">
        <f t="shared" si="16"/>
        <v>0</v>
      </c>
      <c r="E58" s="34">
        <f t="shared" si="17"/>
        <v>0</v>
      </c>
      <c r="F58" s="34">
        <f t="shared" si="18"/>
        <v>0</v>
      </c>
      <c r="G58" s="34">
        <f t="shared" si="19"/>
        <v>0</v>
      </c>
      <c r="H58" s="34">
        <f t="shared" si="20"/>
        <v>0</v>
      </c>
      <c r="I58" s="34">
        <f t="shared" si="21"/>
        <v>0</v>
      </c>
    </row>
    <row r="59" spans="1:9" x14ac:dyDescent="0.2">
      <c r="A59">
        <f t="shared" si="14"/>
        <v>12</v>
      </c>
      <c r="B59" t="str">
        <f t="shared" si="14"/>
        <v/>
      </c>
      <c r="C59" s="34">
        <f t="shared" si="15"/>
        <v>0</v>
      </c>
      <c r="D59" s="34">
        <f t="shared" si="16"/>
        <v>0</v>
      </c>
      <c r="E59" s="34">
        <f t="shared" si="17"/>
        <v>0</v>
      </c>
      <c r="F59" s="34">
        <f t="shared" si="18"/>
        <v>0</v>
      </c>
      <c r="G59" s="34">
        <f t="shared" si="19"/>
        <v>0</v>
      </c>
      <c r="H59" s="34">
        <f t="shared" si="20"/>
        <v>0</v>
      </c>
      <c r="I59" s="34">
        <f t="shared" si="21"/>
        <v>0</v>
      </c>
    </row>
    <row r="60" spans="1:9" x14ac:dyDescent="0.2">
      <c r="A60">
        <f t="shared" si="14"/>
        <v>13</v>
      </c>
      <c r="B60" t="str">
        <f t="shared" si="14"/>
        <v/>
      </c>
      <c r="C60" s="34">
        <f t="shared" si="15"/>
        <v>0</v>
      </c>
      <c r="D60" s="34">
        <f t="shared" si="16"/>
        <v>0</v>
      </c>
      <c r="E60" s="34">
        <f t="shared" si="17"/>
        <v>0</v>
      </c>
      <c r="F60" s="34">
        <f t="shared" si="18"/>
        <v>0</v>
      </c>
      <c r="G60" s="34">
        <f t="shared" si="19"/>
        <v>0</v>
      </c>
      <c r="H60" s="34">
        <f t="shared" si="20"/>
        <v>0</v>
      </c>
      <c r="I60" s="34">
        <f t="shared" si="21"/>
        <v>0</v>
      </c>
    </row>
    <row r="61" spans="1:9" x14ac:dyDescent="0.2">
      <c r="A61">
        <f t="shared" si="14"/>
        <v>14</v>
      </c>
      <c r="B61" t="str">
        <f t="shared" si="14"/>
        <v/>
      </c>
      <c r="C61" s="34">
        <f t="shared" si="15"/>
        <v>0</v>
      </c>
      <c r="D61" s="34">
        <f t="shared" si="16"/>
        <v>0</v>
      </c>
      <c r="E61" s="34">
        <f t="shared" si="17"/>
        <v>0</v>
      </c>
      <c r="F61" s="34">
        <f t="shared" si="18"/>
        <v>0</v>
      </c>
      <c r="G61" s="34">
        <f t="shared" si="19"/>
        <v>0</v>
      </c>
      <c r="H61" s="34">
        <f t="shared" si="20"/>
        <v>0</v>
      </c>
      <c r="I61" s="34">
        <f t="shared" si="21"/>
        <v>0</v>
      </c>
    </row>
    <row r="62" spans="1:9" x14ac:dyDescent="0.2">
      <c r="A62">
        <f t="shared" si="14"/>
        <v>15</v>
      </c>
      <c r="B62" t="str">
        <f t="shared" si="14"/>
        <v/>
      </c>
      <c r="C62" s="34">
        <f t="shared" si="15"/>
        <v>0</v>
      </c>
      <c r="D62" s="34">
        <f t="shared" si="16"/>
        <v>0</v>
      </c>
      <c r="E62" s="34">
        <f t="shared" si="17"/>
        <v>0</v>
      </c>
      <c r="F62" s="34">
        <f t="shared" si="18"/>
        <v>0</v>
      </c>
      <c r="G62" s="34">
        <f t="shared" si="19"/>
        <v>0</v>
      </c>
      <c r="H62" s="34">
        <f t="shared" si="20"/>
        <v>0</v>
      </c>
      <c r="I62" s="34">
        <f t="shared" si="21"/>
        <v>0</v>
      </c>
    </row>
    <row r="63" spans="1:9" x14ac:dyDescent="0.2">
      <c r="A63">
        <f t="shared" si="14"/>
        <v>16</v>
      </c>
      <c r="B63" t="str">
        <f t="shared" si="14"/>
        <v/>
      </c>
      <c r="C63" s="34">
        <f t="shared" si="15"/>
        <v>0</v>
      </c>
      <c r="D63" s="34">
        <f t="shared" si="16"/>
        <v>0</v>
      </c>
      <c r="E63" s="34">
        <f t="shared" si="17"/>
        <v>0</v>
      </c>
      <c r="F63" s="34">
        <f t="shared" si="18"/>
        <v>0</v>
      </c>
      <c r="G63" s="34">
        <f t="shared" si="19"/>
        <v>0</v>
      </c>
      <c r="H63" s="34">
        <f t="shared" si="20"/>
        <v>0</v>
      </c>
      <c r="I63" s="34">
        <f t="shared" si="21"/>
        <v>0</v>
      </c>
    </row>
    <row r="64" spans="1:9" x14ac:dyDescent="0.2">
      <c r="A64">
        <f t="shared" si="14"/>
        <v>17</v>
      </c>
      <c r="B64" t="str">
        <f t="shared" si="14"/>
        <v/>
      </c>
      <c r="C64" s="34">
        <f t="shared" si="15"/>
        <v>0</v>
      </c>
      <c r="D64" s="34">
        <f t="shared" si="16"/>
        <v>0</v>
      </c>
      <c r="E64" s="34">
        <f t="shared" si="17"/>
        <v>0</v>
      </c>
      <c r="F64" s="34">
        <f t="shared" si="18"/>
        <v>0</v>
      </c>
      <c r="G64" s="34">
        <f t="shared" si="19"/>
        <v>0</v>
      </c>
      <c r="H64" s="34">
        <f t="shared" si="20"/>
        <v>0</v>
      </c>
      <c r="I64" s="34">
        <f t="shared" si="21"/>
        <v>0</v>
      </c>
    </row>
    <row r="65" spans="1:9" x14ac:dyDescent="0.2">
      <c r="A65">
        <f t="shared" si="14"/>
        <v>18</v>
      </c>
      <c r="B65" t="str">
        <f t="shared" si="14"/>
        <v/>
      </c>
      <c r="C65" s="34">
        <f t="shared" si="15"/>
        <v>0</v>
      </c>
      <c r="D65" s="34">
        <f t="shared" si="16"/>
        <v>0</v>
      </c>
      <c r="E65" s="34">
        <f t="shared" si="17"/>
        <v>0</v>
      </c>
      <c r="F65" s="34">
        <f t="shared" si="18"/>
        <v>0</v>
      </c>
      <c r="G65" s="34">
        <f t="shared" si="19"/>
        <v>0</v>
      </c>
      <c r="H65" s="34">
        <f t="shared" si="20"/>
        <v>0</v>
      </c>
      <c r="I65" s="34">
        <f>AVERAGE(C65:H65)</f>
        <v>0</v>
      </c>
    </row>
    <row r="66" spans="1:9" x14ac:dyDescent="0.2">
      <c r="A66">
        <f t="shared" si="14"/>
        <v>19</v>
      </c>
      <c r="B66" t="str">
        <f t="shared" si="14"/>
        <v/>
      </c>
      <c r="C66" s="34">
        <f t="shared" si="15"/>
        <v>0</v>
      </c>
      <c r="D66" s="34">
        <f t="shared" si="16"/>
        <v>0</v>
      </c>
      <c r="E66" s="34">
        <f t="shared" si="17"/>
        <v>0</v>
      </c>
      <c r="F66" s="34">
        <f t="shared" si="18"/>
        <v>0</v>
      </c>
      <c r="G66" s="34">
        <f t="shared" si="19"/>
        <v>0</v>
      </c>
      <c r="H66" s="34">
        <f t="shared" si="20"/>
        <v>0</v>
      </c>
      <c r="I66" s="34">
        <f t="shared" si="21"/>
        <v>0</v>
      </c>
    </row>
    <row r="67" spans="1:9" x14ac:dyDescent="0.2">
      <c r="A67">
        <f t="shared" si="14"/>
        <v>20</v>
      </c>
      <c r="B67" t="str">
        <f t="shared" si="14"/>
        <v/>
      </c>
      <c r="C67" s="34">
        <f t="shared" si="15"/>
        <v>0</v>
      </c>
      <c r="D67" s="34">
        <f t="shared" si="16"/>
        <v>0</v>
      </c>
      <c r="E67" s="34">
        <f t="shared" si="17"/>
        <v>0</v>
      </c>
      <c r="F67" s="34">
        <f t="shared" si="18"/>
        <v>0</v>
      </c>
      <c r="G67" s="34">
        <f t="shared" si="19"/>
        <v>0</v>
      </c>
      <c r="H67" s="34">
        <f t="shared" si="20"/>
        <v>0</v>
      </c>
      <c r="I67" s="34">
        <f t="shared" si="21"/>
        <v>0</v>
      </c>
    </row>
    <row r="68" spans="1:9" x14ac:dyDescent="0.2">
      <c r="A68">
        <f t="shared" si="14"/>
        <v>21</v>
      </c>
      <c r="B68" t="str">
        <f t="shared" si="14"/>
        <v/>
      </c>
      <c r="C68" s="34">
        <f t="shared" si="15"/>
        <v>0</v>
      </c>
      <c r="D68" s="34">
        <f t="shared" si="16"/>
        <v>0</v>
      </c>
      <c r="E68" s="34">
        <f t="shared" si="17"/>
        <v>0</v>
      </c>
      <c r="F68" s="34">
        <f t="shared" si="18"/>
        <v>0</v>
      </c>
      <c r="G68" s="34">
        <f t="shared" si="19"/>
        <v>0</v>
      </c>
      <c r="H68" s="34">
        <f t="shared" si="20"/>
        <v>0</v>
      </c>
      <c r="I68" s="34">
        <f t="shared" si="21"/>
        <v>0</v>
      </c>
    </row>
    <row r="69" spans="1:9" x14ac:dyDescent="0.2">
      <c r="A69">
        <f t="shared" si="14"/>
        <v>22</v>
      </c>
      <c r="B69" t="str">
        <f t="shared" si="14"/>
        <v/>
      </c>
      <c r="C69" s="34">
        <f t="shared" si="15"/>
        <v>0</v>
      </c>
      <c r="D69" s="34">
        <f t="shared" si="16"/>
        <v>0</v>
      </c>
      <c r="E69" s="34">
        <f t="shared" si="17"/>
        <v>0</v>
      </c>
      <c r="F69" s="34">
        <f t="shared" si="18"/>
        <v>0</v>
      </c>
      <c r="G69" s="34">
        <f t="shared" si="19"/>
        <v>0</v>
      </c>
      <c r="H69" s="34">
        <f t="shared" si="20"/>
        <v>0</v>
      </c>
      <c r="I69" s="34">
        <f t="shared" si="21"/>
        <v>0</v>
      </c>
    </row>
    <row r="70" spans="1:9" x14ac:dyDescent="0.2">
      <c r="A70">
        <f t="shared" si="14"/>
        <v>23</v>
      </c>
      <c r="B70" t="str">
        <f t="shared" si="14"/>
        <v/>
      </c>
      <c r="C70" s="34">
        <f t="shared" si="15"/>
        <v>0</v>
      </c>
      <c r="D70" s="34">
        <f t="shared" si="16"/>
        <v>0</v>
      </c>
      <c r="E70" s="34">
        <f t="shared" si="17"/>
        <v>0</v>
      </c>
      <c r="F70" s="34">
        <f t="shared" si="18"/>
        <v>0</v>
      </c>
      <c r="G70" s="34">
        <f t="shared" si="19"/>
        <v>0</v>
      </c>
      <c r="H70" s="34">
        <f t="shared" si="20"/>
        <v>0</v>
      </c>
      <c r="I70" s="34">
        <f t="shared" si="21"/>
        <v>0</v>
      </c>
    </row>
    <row r="71" spans="1:9" x14ac:dyDescent="0.2">
      <c r="A71">
        <f t="shared" si="14"/>
        <v>24</v>
      </c>
      <c r="B71" t="str">
        <f t="shared" si="14"/>
        <v/>
      </c>
      <c r="C71" s="34">
        <f t="shared" si="15"/>
        <v>0</v>
      </c>
      <c r="D71" s="34">
        <f t="shared" si="16"/>
        <v>0</v>
      </c>
      <c r="E71" s="34">
        <f t="shared" si="17"/>
        <v>0</v>
      </c>
      <c r="F71" s="34">
        <f t="shared" si="18"/>
        <v>0</v>
      </c>
      <c r="G71" s="34">
        <f t="shared" si="19"/>
        <v>0</v>
      </c>
      <c r="H71" s="34">
        <f t="shared" si="20"/>
        <v>0</v>
      </c>
      <c r="I71" s="34">
        <f t="shared" si="21"/>
        <v>0</v>
      </c>
    </row>
    <row r="72" spans="1:9" x14ac:dyDescent="0.2">
      <c r="A72">
        <f t="shared" si="14"/>
        <v>25</v>
      </c>
      <c r="B72" t="str">
        <f t="shared" si="14"/>
        <v/>
      </c>
      <c r="C72" s="34">
        <f t="shared" si="15"/>
        <v>0</v>
      </c>
      <c r="D72" s="34">
        <f t="shared" si="16"/>
        <v>0</v>
      </c>
      <c r="E72" s="34">
        <f t="shared" si="17"/>
        <v>0</v>
      </c>
      <c r="F72" s="34">
        <f t="shared" si="18"/>
        <v>0</v>
      </c>
      <c r="G72" s="34">
        <f t="shared" si="19"/>
        <v>0</v>
      </c>
      <c r="H72" s="34">
        <f t="shared" si="20"/>
        <v>0</v>
      </c>
      <c r="I72" s="34">
        <f t="shared" si="21"/>
        <v>0</v>
      </c>
    </row>
    <row r="73" spans="1:9" x14ac:dyDescent="0.2">
      <c r="A73">
        <f t="shared" si="14"/>
        <v>26</v>
      </c>
      <c r="B73" t="str">
        <f t="shared" si="14"/>
        <v/>
      </c>
      <c r="C73" s="34">
        <f t="shared" si="15"/>
        <v>0</v>
      </c>
      <c r="D73" s="34">
        <f t="shared" si="16"/>
        <v>0</v>
      </c>
      <c r="E73" s="34">
        <f t="shared" si="17"/>
        <v>0</v>
      </c>
      <c r="F73" s="34">
        <f t="shared" si="18"/>
        <v>0</v>
      </c>
      <c r="G73" s="34">
        <f t="shared" si="19"/>
        <v>0</v>
      </c>
      <c r="H73" s="34">
        <f t="shared" si="20"/>
        <v>0</v>
      </c>
      <c r="I73" s="34">
        <f t="shared" si="21"/>
        <v>0</v>
      </c>
    </row>
    <row r="74" spans="1:9" x14ac:dyDescent="0.2">
      <c r="A74">
        <f t="shared" si="14"/>
        <v>27</v>
      </c>
      <c r="B74" t="str">
        <f t="shared" si="14"/>
        <v/>
      </c>
      <c r="C74" s="34">
        <f t="shared" si="15"/>
        <v>0</v>
      </c>
      <c r="D74" s="34">
        <f t="shared" si="16"/>
        <v>0</v>
      </c>
      <c r="E74" s="34">
        <f t="shared" si="17"/>
        <v>0</v>
      </c>
      <c r="F74" s="34">
        <f t="shared" si="18"/>
        <v>0</v>
      </c>
      <c r="G74" s="34">
        <f t="shared" si="19"/>
        <v>0</v>
      </c>
      <c r="H74" s="34">
        <f t="shared" si="20"/>
        <v>0</v>
      </c>
      <c r="I74" s="34">
        <f t="shared" si="21"/>
        <v>0</v>
      </c>
    </row>
    <row r="75" spans="1:9" x14ac:dyDescent="0.2">
      <c r="A75">
        <f t="shared" si="14"/>
        <v>28</v>
      </c>
      <c r="B75" t="str">
        <f t="shared" si="14"/>
        <v/>
      </c>
      <c r="C75" s="34">
        <f t="shared" si="15"/>
        <v>0</v>
      </c>
      <c r="D75" s="34">
        <f t="shared" si="16"/>
        <v>0</v>
      </c>
      <c r="E75" s="34">
        <f t="shared" si="17"/>
        <v>0</v>
      </c>
      <c r="F75" s="34">
        <f t="shared" si="18"/>
        <v>0</v>
      </c>
      <c r="G75" s="34">
        <f t="shared" si="19"/>
        <v>0</v>
      </c>
      <c r="H75" s="34">
        <f t="shared" si="20"/>
        <v>0</v>
      </c>
      <c r="I75" s="34">
        <f t="shared" si="21"/>
        <v>0</v>
      </c>
    </row>
    <row r="76" spans="1:9" x14ac:dyDescent="0.2">
      <c r="A76">
        <f t="shared" si="14"/>
        <v>29</v>
      </c>
      <c r="B76" t="str">
        <f t="shared" si="14"/>
        <v/>
      </c>
      <c r="C76" s="34">
        <f t="shared" si="15"/>
        <v>0</v>
      </c>
      <c r="D76" s="34">
        <f t="shared" si="16"/>
        <v>0</v>
      </c>
      <c r="E76" s="34">
        <f t="shared" si="17"/>
        <v>0</v>
      </c>
      <c r="F76" s="34">
        <f t="shared" si="18"/>
        <v>0</v>
      </c>
      <c r="G76" s="34">
        <f t="shared" si="19"/>
        <v>0</v>
      </c>
      <c r="H76" s="34">
        <f t="shared" si="20"/>
        <v>0</v>
      </c>
      <c r="I76" s="34">
        <f t="shared" si="21"/>
        <v>0</v>
      </c>
    </row>
    <row r="77" spans="1:9" x14ac:dyDescent="0.2">
      <c r="A77">
        <f t="shared" si="14"/>
        <v>30</v>
      </c>
      <c r="B77" t="str">
        <f t="shared" si="14"/>
        <v/>
      </c>
      <c r="C77" s="34">
        <f t="shared" si="15"/>
        <v>0</v>
      </c>
      <c r="D77" s="34">
        <f t="shared" si="16"/>
        <v>0</v>
      </c>
      <c r="E77" s="34">
        <f t="shared" si="17"/>
        <v>0</v>
      </c>
      <c r="F77" s="34">
        <f t="shared" si="18"/>
        <v>0</v>
      </c>
      <c r="G77" s="34">
        <f t="shared" si="19"/>
        <v>0</v>
      </c>
      <c r="H77" s="34">
        <f t="shared" si="20"/>
        <v>0</v>
      </c>
      <c r="I77" s="34">
        <f t="shared" si="21"/>
        <v>0</v>
      </c>
    </row>
    <row r="79" spans="1:9" x14ac:dyDescent="0.2">
      <c r="C79" s="33">
        <f>SUM(C48:C77)</f>
        <v>1</v>
      </c>
      <c r="D79" s="33">
        <f t="shared" ref="D79:I79" si="22">SUM(D48:D77)</f>
        <v>0.99999999999999978</v>
      </c>
      <c r="E79" s="33">
        <f t="shared" si="22"/>
        <v>1</v>
      </c>
      <c r="F79" s="33">
        <f t="shared" si="22"/>
        <v>1</v>
      </c>
      <c r="G79" s="33">
        <f t="shared" si="22"/>
        <v>1</v>
      </c>
      <c r="H79" s="33">
        <f t="shared" si="22"/>
        <v>1</v>
      </c>
      <c r="I79" s="33">
        <f t="shared" si="22"/>
        <v>0.99999999999999989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1"/>
  <sheetViews>
    <sheetView topLeftCell="A19" workbookViewId="0">
      <selection activeCell="B5" sqref="B5:E20"/>
    </sheetView>
  </sheetViews>
  <sheetFormatPr baseColWidth="10" defaultColWidth="8.83203125" defaultRowHeight="15" x14ac:dyDescent="0.2"/>
  <cols>
    <col min="2" max="2" width="10.33203125" customWidth="1"/>
    <col min="3" max="3" width="11.83203125" bestFit="1" customWidth="1"/>
    <col min="4" max="4" width="18.6640625" bestFit="1" customWidth="1"/>
    <col min="5" max="5" width="32.6640625" bestFit="1" customWidth="1"/>
    <col min="6" max="6" width="15.5" bestFit="1" customWidth="1"/>
    <col min="7" max="7" width="17.5" bestFit="1" customWidth="1"/>
    <col min="8" max="9" width="10.33203125" customWidth="1"/>
    <col min="11" max="11" width="20.5" bestFit="1" customWidth="1"/>
    <col min="12" max="12" width="12.33203125" customWidth="1"/>
  </cols>
  <sheetData>
    <row r="1" spans="1:14" ht="19" x14ac:dyDescent="0.25">
      <c r="A1" s="3" t="s">
        <v>365</v>
      </c>
    </row>
    <row r="3" spans="1:14" x14ac:dyDescent="0.2">
      <c r="B3" s="186"/>
      <c r="C3" s="186"/>
      <c r="D3" s="186"/>
      <c r="E3" s="186" t="s">
        <v>340</v>
      </c>
      <c r="F3" s="187">
        <f>SUM(F5:F34)</f>
        <v>0.99999999999999989</v>
      </c>
      <c r="G3" s="188"/>
      <c r="H3" s="187">
        <f>SUM(H5:H86)</f>
        <v>1.8918008507785751E-2</v>
      </c>
      <c r="I3" s="187">
        <f>SUM(I5:I86)</f>
        <v>0</v>
      </c>
    </row>
    <row r="4" spans="1:14" ht="48" x14ac:dyDescent="0.2">
      <c r="B4" s="103" t="s">
        <v>0</v>
      </c>
      <c r="C4" s="104" t="s">
        <v>32</v>
      </c>
      <c r="D4" s="104" t="s">
        <v>144</v>
      </c>
      <c r="E4" s="104" t="s">
        <v>3</v>
      </c>
      <c r="F4" s="104" t="s">
        <v>215</v>
      </c>
      <c r="G4" s="104" t="s">
        <v>163</v>
      </c>
      <c r="H4" s="104" t="s">
        <v>216</v>
      </c>
      <c r="I4" s="105" t="s">
        <v>339</v>
      </c>
      <c r="K4" s="330" t="s">
        <v>168</v>
      </c>
      <c r="L4" s="330" t="s">
        <v>423</v>
      </c>
      <c r="M4" s="330" t="s">
        <v>168</v>
      </c>
      <c r="N4" s="330" t="s">
        <v>424</v>
      </c>
    </row>
    <row r="5" spans="1:14" x14ac:dyDescent="0.2">
      <c r="B5" s="106" t="str">
        <f>'Weekly  Sum'!B8</f>
        <v>Cash</v>
      </c>
      <c r="C5" s="184" t="s">
        <v>149</v>
      </c>
      <c r="D5" s="184"/>
      <c r="E5" s="184"/>
      <c r="F5" s="107">
        <f>IF($B5="","",'Weekly  Sum'!I48)</f>
        <v>0.17485792721954754</v>
      </c>
      <c r="G5" s="107">
        <f>IF($B5="","",MAX('Port Returns'!Q133,'Port Returns'!S133))</f>
        <v>0</v>
      </c>
      <c r="H5" s="107">
        <f>IF(G5="","",F5*G5)</f>
        <v>0</v>
      </c>
      <c r="I5" s="108">
        <f>IF(H5="","",H5*'Port Returns'!$F$130/'Weighted Returns'!$H$3)</f>
        <v>0</v>
      </c>
      <c r="K5">
        <f>'Port Returns'!I9</f>
        <v>0</v>
      </c>
    </row>
    <row r="6" spans="1:14" x14ac:dyDescent="0.2">
      <c r="B6" s="109" t="str">
        <f>'Port Returns'!C10</f>
        <v>BWX</v>
      </c>
      <c r="C6" s="73" t="str">
        <f>IF($B6="","",VLOOKUP($B6,'ETF List'!$C$3:$I$90,4,FALSE))</f>
        <v>Bonds</v>
      </c>
      <c r="D6" s="73" t="str">
        <f>IF($B6="","",VLOOKUP($B6,'ETF List'!$C$3:$I$90,5,FALSE))</f>
        <v>Sovereigns</v>
      </c>
      <c r="E6" s="73" t="str">
        <f>IF($B6="","",VLOOKUP($B6,'ETF List'!$C$3:$I$90,6,FALSE))</f>
        <v>Government</v>
      </c>
      <c r="F6" s="110">
        <f>IF($B6="","",'Weekly  Sum'!I49)</f>
        <v>0.24420221076302531</v>
      </c>
      <c r="G6" s="110">
        <f>IF($B6="","",(L6+N6)/(K6+M6))</f>
        <v>-2.0263424518743123E-3</v>
      </c>
      <c r="H6" s="110">
        <f t="shared" ref="H6:H34" si="0">IF(G6="","",F6*G6)</f>
        <v>-4.9483730651067625E-4</v>
      </c>
      <c r="I6" s="111">
        <f>IF(H6="","",H6*'Port Returns'!$F$130/'Weighted Returns'!$H$3)</f>
        <v>0</v>
      </c>
      <c r="K6">
        <f>IF(B6="",0,'Port Returns'!I10)</f>
        <v>300008.52</v>
      </c>
      <c r="L6">
        <f>IF(B6="",0,'Port Returns'!L10)</f>
        <v>-607.9199999999837</v>
      </c>
      <c r="M6">
        <f>IF(ISERROR('Port Returns'!F48*'Port Returns'!G48),0,('Port Returns'!F48*'Port Returns'!G48))</f>
        <v>0</v>
      </c>
      <c r="N6">
        <f>IF(ISERROR('Port Returns'!G48*'Port Returns'!H48),0,'Port Returns'!I48)</f>
        <v>0</v>
      </c>
    </row>
    <row r="7" spans="1:14" x14ac:dyDescent="0.2">
      <c r="B7" s="109" t="str">
        <f>'Port Returns'!C11</f>
        <v>EZU</v>
      </c>
      <c r="C7" s="73" t="str">
        <f>IF($B7="","",VLOOKUP($B7,'ETF List'!$C$3:$I$90,4,FALSE))</f>
        <v>Intl Equity</v>
      </c>
      <c r="D7" s="73" t="str">
        <f>IF($B7="","",VLOOKUP($B7,'ETF List'!$C$3:$I$90,5,FALSE))</f>
        <v>Developed Mrkts</v>
      </c>
      <c r="E7" s="73" t="str">
        <f>IF($B7="","",VLOOKUP($B7,'ETF List'!$C$3:$I$90,6,FALSE))</f>
        <v>European Stocks</v>
      </c>
      <c r="F7" s="110">
        <f>IF($B7="","",'Weekly  Sum'!I50)</f>
        <v>0.12973726210516834</v>
      </c>
      <c r="G7" s="110">
        <f t="shared" ref="G7:G34" si="1">IF($B7="","",(L7+N7)/(K7+M7))</f>
        <v>2.4145299145299139E-2</v>
      </c>
      <c r="H7" s="110">
        <f t="shared" si="0"/>
        <v>3.1325450038213716E-3</v>
      </c>
      <c r="I7" s="111">
        <f>IF(H7="","",H7*'Port Returns'!$F$130/'Weighted Returns'!$H$3)</f>
        <v>0</v>
      </c>
      <c r="K7">
        <f>IF(B7="",0,'Port Returns'!I11)</f>
        <v>198010.8</v>
      </c>
      <c r="L7">
        <f>IF(B7="",0,'Port Returns'!L11)</f>
        <v>4781.0299999999988</v>
      </c>
      <c r="M7">
        <f>IF(ISERROR('Port Returns'!F49*'Port Returns'!G49),0,('Port Returns'!F49*'Port Returns'!G49))</f>
        <v>0</v>
      </c>
      <c r="N7">
        <f>IF(ISERROR('Port Returns'!G49*'Port Returns'!H49),0,'Port Returns'!I49)</f>
        <v>0</v>
      </c>
    </row>
    <row r="8" spans="1:14" x14ac:dyDescent="0.2">
      <c r="B8" s="109" t="str">
        <f>'Port Returns'!C12</f>
        <v>IAU</v>
      </c>
      <c r="C8" s="73" t="str">
        <f>IF($B8="","",VLOOKUP($B8,'ETF List'!$C$3:$I$90,4,FALSE))</f>
        <v>Alternatives</v>
      </c>
      <c r="D8" s="73" t="str">
        <f>IF($B8="","",VLOOKUP($B8,'ETF List'!$C$3:$I$90,5,FALSE))</f>
        <v>Commodity</v>
      </c>
      <c r="E8" s="73" t="str">
        <f>IF($B8="","",VLOOKUP($B8,'ETF List'!$C$3:$I$90,6,FALSE))</f>
        <v>Gold</v>
      </c>
      <c r="F8" s="110">
        <f>IF($B8="","",'Weekly  Sum'!I51)</f>
        <v>0.28365648719183773</v>
      </c>
      <c r="G8" s="110">
        <f t="shared" si="1"/>
        <v>2.6576019777502971E-2</v>
      </c>
      <c r="H8" s="110">
        <f t="shared" si="0"/>
        <v>7.5384604136272976E-3</v>
      </c>
      <c r="I8" s="111">
        <f>IF(H8="","",H8*'Port Returns'!$F$130/'Weighted Returns'!$H$3)</f>
        <v>0</v>
      </c>
      <c r="K8">
        <f>IF(B8="",0,'Port Returns'!I12)</f>
        <v>340006.52</v>
      </c>
      <c r="L8">
        <f>IF(B8="",0,'Port Returns'!L12)</f>
        <v>9036.0199999999604</v>
      </c>
      <c r="M8">
        <f>IF(ISERROR('Port Returns'!F50*'Port Returns'!G50),0,('Port Returns'!F50*'Port Returns'!G50))</f>
        <v>0</v>
      </c>
      <c r="N8">
        <f>IF(ISERROR('Port Returns'!G50*'Port Returns'!H50),0,'Port Returns'!I50)</f>
        <v>0</v>
      </c>
    </row>
    <row r="9" spans="1:14" x14ac:dyDescent="0.2">
      <c r="B9" s="109" t="str">
        <f>'Port Returns'!C13</f>
        <v>VTI</v>
      </c>
      <c r="C9" s="73" t="str">
        <f>IF($B9="","",VLOOKUP($B9,'ETF List'!$C$3:$I$90,4,FALSE))</f>
        <v>US Equity</v>
      </c>
      <c r="D9" s="73" t="str">
        <f>IF($B9="","",VLOOKUP($B9,'ETF List'!$C$3:$I$90,5,FALSE))</f>
        <v>Broad Mrkt</v>
      </c>
      <c r="E9" s="73" t="str">
        <f>IF($B9="","",VLOOKUP($B9,'ETF List'!$C$3:$I$90,6,FALSE))</f>
        <v>Broad Mrkt</v>
      </c>
      <c r="F9" s="110">
        <f>IF($B9="","",'Weekly  Sum'!I52)</f>
        <v>0.16754611272042105</v>
      </c>
      <c r="G9" s="110">
        <f t="shared" si="1"/>
        <v>5.21757279527875E-2</v>
      </c>
      <c r="H9" s="110">
        <f t="shared" si="0"/>
        <v>8.7418403968477585E-3</v>
      </c>
      <c r="I9" s="111">
        <f>IF(H9="","",H9*'Port Returns'!$F$130/'Weighted Returns'!$H$3)</f>
        <v>0</v>
      </c>
      <c r="K9">
        <f>IF(B9="",0,'Port Returns'!I13)</f>
        <v>159495.11000000002</v>
      </c>
      <c r="L9">
        <f>IF(B9="",0,'Port Returns'!L13)</f>
        <v>10712.479999999981</v>
      </c>
      <c r="M9">
        <f>IF(ISERROR('Port Returns'!F51*'Port Returns'!G51),0,('Port Returns'!F51*'Port Returns'!G51))</f>
        <v>190456.5</v>
      </c>
      <c r="N9">
        <f>IF(ISERROR('Port Returns'!G51*'Port Returns'!H51),0,'Port Returns'!I51)</f>
        <v>7546.5000000000091</v>
      </c>
    </row>
    <row r="10" spans="1:14" x14ac:dyDescent="0.2">
      <c r="B10" s="109" t="str">
        <f>'Port Returns'!C14</f>
        <v/>
      </c>
      <c r="C10" s="73" t="str">
        <f>IF($B10="","",VLOOKUP($B10,'ETF List'!$C$3:$I$90,4,FALSE))</f>
        <v/>
      </c>
      <c r="D10" s="73" t="str">
        <f>IF($B10="","",VLOOKUP($B10,'ETF List'!$C$3:$I$90,5,FALSE))</f>
        <v/>
      </c>
      <c r="E10" s="73" t="str">
        <f>IF($B10="","",VLOOKUP($B10,'ETF List'!$C$3:$I$90,6,FALSE))</f>
        <v/>
      </c>
      <c r="F10" s="110" t="str">
        <f>IF($B10="","",'Weekly  Sum'!I53)</f>
        <v/>
      </c>
      <c r="G10" s="110" t="str">
        <f t="shared" si="1"/>
        <v/>
      </c>
      <c r="H10" s="110" t="str">
        <f t="shared" si="0"/>
        <v/>
      </c>
      <c r="I10" s="111" t="str">
        <f>IF(H10="","",H10*'Port Returns'!$F$130/'Weighted Returns'!$H$3)</f>
        <v/>
      </c>
      <c r="K10">
        <f>IF(B10="",0,'Port Returns'!I14)</f>
        <v>0</v>
      </c>
      <c r="L10">
        <f>IF(B10="",0,'Port Returns'!L14)</f>
        <v>0</v>
      </c>
      <c r="M10">
        <f>IF(ISERROR('Port Returns'!F52*'Port Returns'!G52),0,('Port Returns'!F52*'Port Returns'!G52))</f>
        <v>0</v>
      </c>
      <c r="N10">
        <f>IF(ISERROR('Port Returns'!G52*'Port Returns'!H52),0,'Port Returns'!I52)</f>
        <v>0</v>
      </c>
    </row>
    <row r="11" spans="1:14" x14ac:dyDescent="0.2">
      <c r="B11" s="109" t="str">
        <f>'Port Returns'!C15</f>
        <v/>
      </c>
      <c r="C11" s="73" t="str">
        <f>IF($B11="","",VLOOKUP($B11,'ETF List'!$C$3:$I$90,4,FALSE))</f>
        <v/>
      </c>
      <c r="D11" s="73" t="str">
        <f>IF($B11="","",VLOOKUP($B11,'ETF List'!$C$3:$I$90,5,FALSE))</f>
        <v/>
      </c>
      <c r="E11" s="73" t="str">
        <f>IF($B11="","",VLOOKUP($B11,'ETF List'!$C$3:$I$90,6,FALSE))</f>
        <v/>
      </c>
      <c r="F11" s="110" t="str">
        <f>IF($B11="","",'Weekly  Sum'!I54)</f>
        <v/>
      </c>
      <c r="G11" s="110" t="str">
        <f t="shared" si="1"/>
        <v/>
      </c>
      <c r="H11" s="110" t="str">
        <f t="shared" si="0"/>
        <v/>
      </c>
      <c r="I11" s="111" t="str">
        <f>IF(H11="","",H11*'Port Returns'!$F$130/'Weighted Returns'!$H$3)</f>
        <v/>
      </c>
      <c r="K11">
        <f>IF(B11="",0,'Port Returns'!I15)</f>
        <v>0</v>
      </c>
      <c r="L11">
        <f>IF(B11="",0,'Port Returns'!L15)</f>
        <v>0</v>
      </c>
      <c r="M11">
        <f>IF(ISERROR('Port Returns'!F53*'Port Returns'!G53),0,('Port Returns'!F53*'Port Returns'!G53))</f>
        <v>0</v>
      </c>
      <c r="N11">
        <f>IF(ISERROR('Port Returns'!G53*'Port Returns'!H53),0,'Port Returns'!I53)</f>
        <v>0</v>
      </c>
    </row>
    <row r="12" spans="1:14" x14ac:dyDescent="0.2">
      <c r="B12" s="109" t="str">
        <f>'Port Returns'!C16</f>
        <v/>
      </c>
      <c r="C12" s="73" t="str">
        <f>IF($B12="","",VLOOKUP($B12,'ETF List'!$C$3:$I$90,4,FALSE))</f>
        <v/>
      </c>
      <c r="D12" s="73" t="str">
        <f>IF($B12="","",VLOOKUP($B12,'ETF List'!$C$3:$I$90,5,FALSE))</f>
        <v/>
      </c>
      <c r="E12" s="73" t="str">
        <f>IF($B12="","",VLOOKUP($B12,'ETF List'!$C$3:$I$90,6,FALSE))</f>
        <v/>
      </c>
      <c r="F12" s="110" t="str">
        <f>IF($B12="","",'Weekly  Sum'!I55)</f>
        <v/>
      </c>
      <c r="G12" s="110" t="str">
        <f t="shared" si="1"/>
        <v/>
      </c>
      <c r="H12" s="110" t="str">
        <f t="shared" si="0"/>
        <v/>
      </c>
      <c r="I12" s="111" t="str">
        <f>IF(H12="","",H12*'Port Returns'!$F$130/'Weighted Returns'!$H$3)</f>
        <v/>
      </c>
      <c r="K12">
        <f>IF(B12="",0,'Port Returns'!I16)</f>
        <v>0</v>
      </c>
      <c r="L12">
        <f>IF(B12="",0,'Port Returns'!L16)</f>
        <v>0</v>
      </c>
      <c r="M12">
        <f>IF(ISERROR('Port Returns'!F54*'Port Returns'!G54),0,('Port Returns'!F54*'Port Returns'!G54))</f>
        <v>0</v>
      </c>
      <c r="N12">
        <f>IF(ISERROR('Port Returns'!G54*'Port Returns'!H54),0,'Port Returns'!I54)</f>
        <v>0</v>
      </c>
    </row>
    <row r="13" spans="1:14" x14ac:dyDescent="0.2">
      <c r="B13" s="109" t="str">
        <f>'Port Returns'!C17</f>
        <v/>
      </c>
      <c r="C13" s="73" t="str">
        <f>IF($B13="","",VLOOKUP($B13,'ETF List'!$C$3:$I$90,4,FALSE))</f>
        <v/>
      </c>
      <c r="D13" s="73" t="str">
        <f>IF($B13="","",VLOOKUP($B13,'ETF List'!$C$3:$I$90,5,FALSE))</f>
        <v/>
      </c>
      <c r="E13" s="73" t="str">
        <f>IF($B13="","",VLOOKUP($B13,'ETF List'!$C$3:$I$90,6,FALSE))</f>
        <v/>
      </c>
      <c r="F13" s="110" t="str">
        <f>IF($B13="","",'Weekly  Sum'!I56)</f>
        <v/>
      </c>
      <c r="G13" s="110" t="str">
        <f t="shared" si="1"/>
        <v/>
      </c>
      <c r="H13" s="110" t="str">
        <f t="shared" si="0"/>
        <v/>
      </c>
      <c r="I13" s="111" t="str">
        <f>IF(H13="","",H13*'Port Returns'!$F$130/'Weighted Returns'!$H$3)</f>
        <v/>
      </c>
      <c r="K13">
        <f>IF(B13="",0,'Port Returns'!I17)</f>
        <v>0</v>
      </c>
      <c r="L13">
        <f>IF(B13="",0,'Port Returns'!L17)</f>
        <v>0</v>
      </c>
      <c r="M13">
        <f>IF(ISERROR('Port Returns'!F55*'Port Returns'!G55),0,('Port Returns'!F55*'Port Returns'!G55))</f>
        <v>0</v>
      </c>
      <c r="N13">
        <f>IF(ISERROR('Port Returns'!G55*'Port Returns'!H55),0,'Port Returns'!I55)</f>
        <v>0</v>
      </c>
    </row>
    <row r="14" spans="1:14" x14ac:dyDescent="0.2">
      <c r="B14" s="109" t="str">
        <f>'Port Returns'!C18</f>
        <v/>
      </c>
      <c r="C14" s="73" t="str">
        <f>IF($B14="","",VLOOKUP($B14,'ETF List'!$C$3:$I$90,4,FALSE))</f>
        <v/>
      </c>
      <c r="D14" s="73" t="str">
        <f>IF($B14="","",VLOOKUP($B14,'ETF List'!$C$3:$I$90,5,FALSE))</f>
        <v/>
      </c>
      <c r="E14" s="73" t="str">
        <f>IF($B14="","",VLOOKUP($B14,'ETF List'!$C$3:$I$90,6,FALSE))</f>
        <v/>
      </c>
      <c r="F14" s="110" t="str">
        <f>IF($B14="","",'Weekly  Sum'!I57)</f>
        <v/>
      </c>
      <c r="G14" s="110" t="str">
        <f t="shared" si="1"/>
        <v/>
      </c>
      <c r="H14" s="110" t="str">
        <f t="shared" si="0"/>
        <v/>
      </c>
      <c r="I14" s="111" t="str">
        <f>IF(H14="","",H14*'Port Returns'!$F$130/'Weighted Returns'!$H$3)</f>
        <v/>
      </c>
      <c r="K14">
        <f>IF(B14="",0,'Port Returns'!I18)</f>
        <v>0</v>
      </c>
      <c r="L14">
        <f>IF(B14="",0,'Port Returns'!L18)</f>
        <v>0</v>
      </c>
      <c r="M14">
        <f>IF(ISERROR('Port Returns'!F56*'Port Returns'!G56),0,('Port Returns'!F56*'Port Returns'!G56))</f>
        <v>0</v>
      </c>
      <c r="N14">
        <f>IF(ISERROR('Port Returns'!G56*'Port Returns'!H56),0,'Port Returns'!I56)</f>
        <v>0</v>
      </c>
    </row>
    <row r="15" spans="1:14" x14ac:dyDescent="0.2">
      <c r="B15" s="109" t="str">
        <f>'Port Returns'!C19</f>
        <v/>
      </c>
      <c r="C15" s="73" t="str">
        <f>IF($B15="","",VLOOKUP($B15,'ETF List'!$C$3:$I$90,4,FALSE))</f>
        <v/>
      </c>
      <c r="D15" s="73" t="str">
        <f>IF($B15="","",VLOOKUP($B15,'ETF List'!$C$3:$I$90,5,FALSE))</f>
        <v/>
      </c>
      <c r="E15" s="73" t="str">
        <f>IF($B15="","",VLOOKUP($B15,'ETF List'!$C$3:$I$90,6,FALSE))</f>
        <v/>
      </c>
      <c r="F15" s="110" t="str">
        <f>IF($B15="","",'Weekly  Sum'!I58)</f>
        <v/>
      </c>
      <c r="G15" s="110" t="str">
        <f t="shared" si="1"/>
        <v/>
      </c>
      <c r="H15" s="110" t="str">
        <f t="shared" si="0"/>
        <v/>
      </c>
      <c r="I15" s="111" t="str">
        <f>IF(H15="","",H15*'Port Returns'!$F$130/'Weighted Returns'!$H$3)</f>
        <v/>
      </c>
      <c r="K15">
        <f>IF(B15="",0,'Port Returns'!I19)</f>
        <v>0</v>
      </c>
      <c r="L15">
        <f>IF(B15="",0,'Port Returns'!L19)</f>
        <v>0</v>
      </c>
      <c r="M15">
        <f>IF(ISERROR('Port Returns'!F57*'Port Returns'!G57),0,('Port Returns'!F57*'Port Returns'!G57))</f>
        <v>0</v>
      </c>
      <c r="N15">
        <f>IF(ISERROR('Port Returns'!G57*'Port Returns'!H57),0,'Port Returns'!I57)</f>
        <v>0</v>
      </c>
    </row>
    <row r="16" spans="1:14" x14ac:dyDescent="0.2">
      <c r="B16" s="109" t="str">
        <f>'Port Returns'!C20</f>
        <v/>
      </c>
      <c r="C16" s="73" t="str">
        <f>IF($B16="","",VLOOKUP($B16,'ETF List'!$C$3:$I$90,4,FALSE))</f>
        <v/>
      </c>
      <c r="D16" s="73" t="str">
        <f>IF($B16="","",VLOOKUP($B16,'ETF List'!$C$3:$I$90,5,FALSE))</f>
        <v/>
      </c>
      <c r="E16" s="73" t="str">
        <f>IF($B16="","",VLOOKUP($B16,'ETF List'!$C$3:$I$90,6,FALSE))</f>
        <v/>
      </c>
      <c r="F16" s="110" t="str">
        <f>IF($B16="","",'Weekly  Sum'!I59)</f>
        <v/>
      </c>
      <c r="G16" s="110" t="str">
        <f t="shared" si="1"/>
        <v/>
      </c>
      <c r="H16" s="110" t="str">
        <f t="shared" si="0"/>
        <v/>
      </c>
      <c r="I16" s="111" t="str">
        <f>IF(H16="","",H16*'Port Returns'!$F$130/'Weighted Returns'!$H$3)</f>
        <v/>
      </c>
      <c r="K16">
        <f>IF(B16="",0,'Port Returns'!I20)</f>
        <v>0</v>
      </c>
      <c r="L16">
        <f>IF(B16="",0,'Port Returns'!L20)</f>
        <v>0</v>
      </c>
      <c r="M16">
        <f>IF(ISERROR('Port Returns'!F58*'Port Returns'!G58),0,('Port Returns'!F58*'Port Returns'!G58))</f>
        <v>0</v>
      </c>
      <c r="N16">
        <f>IF(ISERROR('Port Returns'!G58*'Port Returns'!H58),0,'Port Returns'!I58)</f>
        <v>0</v>
      </c>
    </row>
    <row r="17" spans="2:14" x14ac:dyDescent="0.2">
      <c r="B17" s="109" t="str">
        <f>'Port Returns'!C21</f>
        <v/>
      </c>
      <c r="C17" s="73" t="str">
        <f>IF($B17="","",VLOOKUP($B17,'ETF List'!$C$3:$I$90,4,FALSE))</f>
        <v/>
      </c>
      <c r="D17" s="73" t="str">
        <f>IF($B17="","",VLOOKUP($B17,'ETF List'!$C$3:$I$90,5,FALSE))</f>
        <v/>
      </c>
      <c r="E17" s="73" t="str">
        <f>IF($B17="","",VLOOKUP($B17,'ETF List'!$C$3:$I$90,6,FALSE))</f>
        <v/>
      </c>
      <c r="F17" s="110" t="str">
        <f>IF($B17="","",'Weekly  Sum'!I60)</f>
        <v/>
      </c>
      <c r="G17" s="110" t="str">
        <f t="shared" si="1"/>
        <v/>
      </c>
      <c r="H17" s="110" t="str">
        <f t="shared" si="0"/>
        <v/>
      </c>
      <c r="I17" s="111" t="str">
        <f>IF(H17="","",H17*'Port Returns'!$F$130/'Weighted Returns'!$H$3)</f>
        <v/>
      </c>
      <c r="K17">
        <f>IF(B17="",0,'Port Returns'!I21)</f>
        <v>0</v>
      </c>
      <c r="L17">
        <f>IF(B17="",0,'Port Returns'!L21)</f>
        <v>0</v>
      </c>
      <c r="M17">
        <f>IF(ISERROR('Port Returns'!F59*'Port Returns'!G59),0,('Port Returns'!F59*'Port Returns'!G59))</f>
        <v>0</v>
      </c>
      <c r="N17">
        <f>IF(ISERROR('Port Returns'!G59*'Port Returns'!H59),0,'Port Returns'!I59)</f>
        <v>0</v>
      </c>
    </row>
    <row r="18" spans="2:14" x14ac:dyDescent="0.2">
      <c r="B18" s="109" t="str">
        <f>'Port Returns'!C22</f>
        <v/>
      </c>
      <c r="C18" s="73" t="str">
        <f>IF($B18="","",VLOOKUP($B18,'ETF List'!$C$3:$I$90,4,FALSE))</f>
        <v/>
      </c>
      <c r="D18" s="73" t="str">
        <f>IF($B18="","",VLOOKUP($B18,'ETF List'!$C$3:$I$90,5,FALSE))</f>
        <v/>
      </c>
      <c r="E18" s="73" t="str">
        <f>IF($B18="","",VLOOKUP($B18,'ETF List'!$C$3:$I$90,6,FALSE))</f>
        <v/>
      </c>
      <c r="F18" s="110" t="str">
        <f>IF($B18="","",'Weekly  Sum'!I61)</f>
        <v/>
      </c>
      <c r="G18" s="110" t="str">
        <f t="shared" si="1"/>
        <v/>
      </c>
      <c r="H18" s="110" t="str">
        <f t="shared" si="0"/>
        <v/>
      </c>
      <c r="I18" s="111" t="str">
        <f>IF(H18="","",H18*'Port Returns'!$F$130/'Weighted Returns'!$H$3)</f>
        <v/>
      </c>
      <c r="K18">
        <f>IF(B18="",0,'Port Returns'!I22)</f>
        <v>0</v>
      </c>
      <c r="L18">
        <f>IF(B18="",0,'Port Returns'!L22)</f>
        <v>0</v>
      </c>
      <c r="M18">
        <f>IF(ISERROR('Port Returns'!F60*'Port Returns'!G60),0,('Port Returns'!F60*'Port Returns'!G60))</f>
        <v>0</v>
      </c>
      <c r="N18">
        <f>IF(ISERROR('Port Returns'!G60*'Port Returns'!H60),0,'Port Returns'!I60)</f>
        <v>0</v>
      </c>
    </row>
    <row r="19" spans="2:14" x14ac:dyDescent="0.2">
      <c r="B19" s="109" t="str">
        <f>'Port Returns'!C23</f>
        <v/>
      </c>
      <c r="C19" s="73" t="str">
        <f>IF($B19="","",VLOOKUP($B19,'ETF List'!$C$3:$I$90,4,FALSE))</f>
        <v/>
      </c>
      <c r="D19" s="73" t="str">
        <f>IF($B19="","",VLOOKUP($B19,'ETF List'!$C$3:$I$90,5,FALSE))</f>
        <v/>
      </c>
      <c r="E19" s="73" t="str">
        <f>IF($B19="","",VLOOKUP($B19,'ETF List'!$C$3:$I$90,6,FALSE))</f>
        <v/>
      </c>
      <c r="F19" s="110" t="str">
        <f>IF($B19="","",'Weekly  Sum'!I62)</f>
        <v/>
      </c>
      <c r="G19" s="110" t="str">
        <f t="shared" si="1"/>
        <v/>
      </c>
      <c r="H19" s="110" t="str">
        <f t="shared" si="0"/>
        <v/>
      </c>
      <c r="I19" s="111" t="str">
        <f>IF(H19="","",H19*'Port Returns'!$F$130/'Weighted Returns'!$H$3)</f>
        <v/>
      </c>
      <c r="K19">
        <f>IF(B19="",0,'Port Returns'!I23)</f>
        <v>0</v>
      </c>
      <c r="L19">
        <f>IF(B19="",0,'Port Returns'!L23)</f>
        <v>0</v>
      </c>
      <c r="M19">
        <f>IF(ISERROR('Port Returns'!F61*'Port Returns'!G61),0,('Port Returns'!F61*'Port Returns'!G61))</f>
        <v>0</v>
      </c>
      <c r="N19">
        <f>IF(ISERROR('Port Returns'!G61*'Port Returns'!H61),0,'Port Returns'!I61)</f>
        <v>0</v>
      </c>
    </row>
    <row r="20" spans="2:14" x14ac:dyDescent="0.2">
      <c r="B20" s="109" t="str">
        <f>'Port Returns'!C24</f>
        <v/>
      </c>
      <c r="C20" s="73" t="str">
        <f>IF($B20="","",VLOOKUP($B20,'ETF List'!$C$3:$I$90,4,FALSE))</f>
        <v/>
      </c>
      <c r="D20" s="73" t="str">
        <f>IF($B20="","",VLOOKUP($B20,'ETF List'!$C$3:$I$90,5,FALSE))</f>
        <v/>
      </c>
      <c r="E20" s="73" t="str">
        <f>IF($B20="","",VLOOKUP($B20,'ETF List'!$C$3:$I$90,6,FALSE))</f>
        <v/>
      </c>
      <c r="F20" s="110" t="str">
        <f>IF($B20="","",'Weekly  Sum'!I63)</f>
        <v/>
      </c>
      <c r="G20" s="110" t="str">
        <f t="shared" si="1"/>
        <v/>
      </c>
      <c r="H20" s="110" t="str">
        <f t="shared" si="0"/>
        <v/>
      </c>
      <c r="I20" s="111" t="str">
        <f>IF(H20="","",H20*'Port Returns'!$F$130/'Weighted Returns'!$H$3)</f>
        <v/>
      </c>
      <c r="K20">
        <f>IF(B20="",0,'Port Returns'!I24)</f>
        <v>0</v>
      </c>
      <c r="L20">
        <f>IF(B20="",0,'Port Returns'!L24)</f>
        <v>0</v>
      </c>
      <c r="M20">
        <f>IF(ISERROR('Port Returns'!F62*'Port Returns'!G62),0,('Port Returns'!F62*'Port Returns'!G62))</f>
        <v>0</v>
      </c>
      <c r="N20">
        <f>IF(ISERROR('Port Returns'!G62*'Port Returns'!H62),0,'Port Returns'!I62)</f>
        <v>0</v>
      </c>
    </row>
    <row r="21" spans="2:14" x14ac:dyDescent="0.2">
      <c r="B21" s="109" t="str">
        <f>'Port Returns'!C25</f>
        <v/>
      </c>
      <c r="C21" s="73" t="str">
        <f>IF($B21="","",VLOOKUP($B21,'ETF List'!$C$3:$I$90,4,FALSE))</f>
        <v/>
      </c>
      <c r="D21" s="73" t="str">
        <f>IF($B21="","",VLOOKUP($B21,'ETF List'!$C$3:$I$90,5,FALSE))</f>
        <v/>
      </c>
      <c r="E21" s="73" t="str">
        <f>IF($B21="","",VLOOKUP($B21,'ETF List'!$C$3:$I$90,6,FALSE))</f>
        <v/>
      </c>
      <c r="F21" s="110" t="str">
        <f>IF($B21="","",'Weekly  Sum'!I64)</f>
        <v/>
      </c>
      <c r="G21" s="110" t="str">
        <f t="shared" si="1"/>
        <v/>
      </c>
      <c r="H21" s="110" t="str">
        <f t="shared" si="0"/>
        <v/>
      </c>
      <c r="I21" s="111" t="str">
        <f>IF(H21="","",H21*'Port Returns'!$F$130/'Weighted Returns'!$H$3)</f>
        <v/>
      </c>
      <c r="K21">
        <f>IF(B21="",0,'Port Returns'!I25)</f>
        <v>0</v>
      </c>
      <c r="L21">
        <f>IF(B21="",0,'Port Returns'!L25)</f>
        <v>0</v>
      </c>
      <c r="M21">
        <f>IF(ISERROR('Port Returns'!F63*'Port Returns'!G63),0,('Port Returns'!F63*'Port Returns'!G63))</f>
        <v>0</v>
      </c>
      <c r="N21">
        <f>IF(ISERROR('Port Returns'!G63*'Port Returns'!H63),0,'Port Returns'!I63)</f>
        <v>0</v>
      </c>
    </row>
    <row r="22" spans="2:14" x14ac:dyDescent="0.2">
      <c r="B22" s="109" t="str">
        <f>'Port Returns'!C26</f>
        <v/>
      </c>
      <c r="C22" s="73" t="str">
        <f>IF($B22="","",VLOOKUP($B22,'ETF List'!$C$3:$I$90,4,FALSE))</f>
        <v/>
      </c>
      <c r="D22" s="73" t="str">
        <f>IF($B22="","",VLOOKUP($B22,'ETF List'!$C$3:$I$90,5,FALSE))</f>
        <v/>
      </c>
      <c r="E22" s="73" t="str">
        <f>IF($B22="","",VLOOKUP($B22,'ETF List'!$C$3:$I$90,6,FALSE))</f>
        <v/>
      </c>
      <c r="F22" s="110" t="str">
        <f>IF($B22="","",'Weekly  Sum'!I65)</f>
        <v/>
      </c>
      <c r="G22" s="110" t="str">
        <f t="shared" si="1"/>
        <v/>
      </c>
      <c r="H22" s="110" t="str">
        <f t="shared" si="0"/>
        <v/>
      </c>
      <c r="I22" s="111" t="str">
        <f>IF(H22="","",H22*'Port Returns'!$F$130/'Weighted Returns'!$H$3)</f>
        <v/>
      </c>
      <c r="K22">
        <f>IF(B22="",0,'Port Returns'!I26)</f>
        <v>0</v>
      </c>
      <c r="L22">
        <f>IF(B22="",0,'Port Returns'!L26)</f>
        <v>0</v>
      </c>
      <c r="M22">
        <f>IF(ISERROR('Port Returns'!F64*'Port Returns'!G64),0,('Port Returns'!F64*'Port Returns'!G64))</f>
        <v>0</v>
      </c>
      <c r="N22">
        <f>IF(ISERROR('Port Returns'!G64*'Port Returns'!H64),0,'Port Returns'!I64)</f>
        <v>0</v>
      </c>
    </row>
    <row r="23" spans="2:14" x14ac:dyDescent="0.2">
      <c r="B23" s="109" t="str">
        <f>'Port Returns'!C27</f>
        <v/>
      </c>
      <c r="C23" s="73" t="str">
        <f>IF($B23="","",VLOOKUP($B23,'ETF List'!$C$3:$I$90,4,FALSE))</f>
        <v/>
      </c>
      <c r="D23" s="73" t="str">
        <f>IF($B23="","",VLOOKUP($B23,'ETF List'!$C$3:$I$90,5,FALSE))</f>
        <v/>
      </c>
      <c r="E23" s="73" t="str">
        <f>IF($B23="","",VLOOKUP($B23,'ETF List'!$C$3:$I$90,6,FALSE))</f>
        <v/>
      </c>
      <c r="F23" s="110" t="str">
        <f>IF($B23="","",'Weekly  Sum'!I66)</f>
        <v/>
      </c>
      <c r="G23" s="110" t="str">
        <f t="shared" si="1"/>
        <v/>
      </c>
      <c r="H23" s="110" t="str">
        <f t="shared" si="0"/>
        <v/>
      </c>
      <c r="I23" s="111" t="str">
        <f>IF(H23="","",H23*'Port Returns'!$F$130/'Weighted Returns'!$H$3)</f>
        <v/>
      </c>
      <c r="K23">
        <f>IF(B23="",0,'Port Returns'!I27)</f>
        <v>0</v>
      </c>
      <c r="L23">
        <f>IF(B23="",0,'Port Returns'!L27)</f>
        <v>0</v>
      </c>
      <c r="M23">
        <f>IF(ISERROR('Port Returns'!F65*'Port Returns'!G65),0,('Port Returns'!F65*'Port Returns'!G65))</f>
        <v>0</v>
      </c>
      <c r="N23">
        <f>IF(ISERROR('Port Returns'!G65*'Port Returns'!H65),0,'Port Returns'!I65)</f>
        <v>0</v>
      </c>
    </row>
    <row r="24" spans="2:14" x14ac:dyDescent="0.2">
      <c r="B24" s="109" t="str">
        <f>'Port Returns'!C28</f>
        <v/>
      </c>
      <c r="C24" s="73" t="str">
        <f>IF($B24="","",VLOOKUP($B24,'ETF List'!$C$3:$I$90,4,FALSE))</f>
        <v/>
      </c>
      <c r="D24" s="73" t="str">
        <f>IF($B24="","",VLOOKUP($B24,'ETF List'!$C$3:$I$90,5,FALSE))</f>
        <v/>
      </c>
      <c r="E24" s="73" t="str">
        <f>IF($B24="","",VLOOKUP($B24,'ETF List'!$C$3:$I$90,6,FALSE))</f>
        <v/>
      </c>
      <c r="F24" s="110" t="str">
        <f>IF($B24="","",'Weekly  Sum'!I67)</f>
        <v/>
      </c>
      <c r="G24" s="110" t="str">
        <f t="shared" si="1"/>
        <v/>
      </c>
      <c r="H24" s="110" t="str">
        <f t="shared" si="0"/>
        <v/>
      </c>
      <c r="I24" s="111" t="str">
        <f>IF(H24="","",H24*'Port Returns'!$F$130/'Weighted Returns'!$H$3)</f>
        <v/>
      </c>
      <c r="K24">
        <f>IF(B24="",0,'Port Returns'!I28)</f>
        <v>0</v>
      </c>
      <c r="L24">
        <f>IF(B24="",0,'Port Returns'!L28)</f>
        <v>0</v>
      </c>
      <c r="M24">
        <f>IF(ISERROR('Port Returns'!F66*'Port Returns'!G66),0,('Port Returns'!F66*'Port Returns'!G66))</f>
        <v>0</v>
      </c>
      <c r="N24">
        <f>IF(ISERROR('Port Returns'!G66*'Port Returns'!H66),0,'Port Returns'!I66)</f>
        <v>0</v>
      </c>
    </row>
    <row r="25" spans="2:14" x14ac:dyDescent="0.2">
      <c r="B25" s="109" t="str">
        <f>'Port Returns'!C29</f>
        <v/>
      </c>
      <c r="C25" s="73" t="str">
        <f>IF($B25="","",VLOOKUP($B25,'ETF List'!$C$3:$I$90,4,FALSE))</f>
        <v/>
      </c>
      <c r="D25" s="73" t="str">
        <f>IF($B25="","",VLOOKUP($B25,'ETF List'!$C$3:$I$90,5,FALSE))</f>
        <v/>
      </c>
      <c r="E25" s="73" t="str">
        <f>IF($B25="","",VLOOKUP($B25,'ETF List'!$C$3:$I$90,6,FALSE))</f>
        <v/>
      </c>
      <c r="F25" s="110" t="str">
        <f>IF($B25="","",'Weekly  Sum'!I68)</f>
        <v/>
      </c>
      <c r="G25" s="110" t="str">
        <f t="shared" si="1"/>
        <v/>
      </c>
      <c r="H25" s="110" t="str">
        <f t="shared" si="0"/>
        <v/>
      </c>
      <c r="I25" s="111" t="str">
        <f>IF(H25="","",H25*'Port Returns'!$F$130/'Weighted Returns'!$H$3)</f>
        <v/>
      </c>
      <c r="K25">
        <f>IF(B25="",0,'Port Returns'!I29)</f>
        <v>0</v>
      </c>
      <c r="L25">
        <f>IF(B25="",0,'Port Returns'!L29)</f>
        <v>0</v>
      </c>
      <c r="M25">
        <f>IF(ISERROR('Port Returns'!F67*'Port Returns'!G67),0,('Port Returns'!F67*'Port Returns'!G67))</f>
        <v>0</v>
      </c>
      <c r="N25">
        <f>IF(ISERROR('Port Returns'!G67*'Port Returns'!H67),0,'Port Returns'!I67)</f>
        <v>0</v>
      </c>
    </row>
    <row r="26" spans="2:14" x14ac:dyDescent="0.2">
      <c r="B26" s="109" t="str">
        <f>'Port Returns'!C30</f>
        <v/>
      </c>
      <c r="C26" s="73" t="str">
        <f>IF($B26="","",VLOOKUP($B26,'ETF List'!$C$3:$I$90,4,FALSE))</f>
        <v/>
      </c>
      <c r="D26" s="73" t="str">
        <f>IF($B26="","",VLOOKUP($B26,'ETF List'!$C$3:$I$90,5,FALSE))</f>
        <v/>
      </c>
      <c r="E26" s="73" t="str">
        <f>IF($B26="","",VLOOKUP($B26,'ETF List'!$C$3:$I$90,6,FALSE))</f>
        <v/>
      </c>
      <c r="F26" s="110" t="str">
        <f>IF($B26="","",'Weekly  Sum'!I69)</f>
        <v/>
      </c>
      <c r="G26" s="110" t="str">
        <f t="shared" si="1"/>
        <v/>
      </c>
      <c r="H26" s="110" t="str">
        <f t="shared" si="0"/>
        <v/>
      </c>
      <c r="I26" s="111" t="str">
        <f>IF(H26="","",H26*'Port Returns'!$F$130/'Weighted Returns'!$H$3)</f>
        <v/>
      </c>
      <c r="K26">
        <f>IF(B26="",0,'Port Returns'!I30)</f>
        <v>0</v>
      </c>
      <c r="L26">
        <f>IF(B26="",0,'Port Returns'!L30)</f>
        <v>0</v>
      </c>
      <c r="M26">
        <f>IF(ISERROR('Port Returns'!F68*'Port Returns'!G68),0,('Port Returns'!F68*'Port Returns'!G68))</f>
        <v>0</v>
      </c>
      <c r="N26">
        <f>IF(ISERROR('Port Returns'!G68*'Port Returns'!H68),0,'Port Returns'!I68)</f>
        <v>0</v>
      </c>
    </row>
    <row r="27" spans="2:14" x14ac:dyDescent="0.2">
      <c r="B27" s="109" t="str">
        <f>'Port Returns'!C31</f>
        <v/>
      </c>
      <c r="C27" s="73" t="str">
        <f>IF($B27="","",VLOOKUP($B27,'ETF List'!$C$3:$I$90,4,FALSE))</f>
        <v/>
      </c>
      <c r="D27" s="73" t="str">
        <f>IF($B27="","",VLOOKUP($B27,'ETF List'!$C$3:$I$90,5,FALSE))</f>
        <v/>
      </c>
      <c r="E27" s="73" t="str">
        <f>IF($B27="","",VLOOKUP($B27,'ETF List'!$C$3:$I$90,6,FALSE))</f>
        <v/>
      </c>
      <c r="F27" s="110" t="str">
        <f>IF($B27="","",'Weekly  Sum'!I70)</f>
        <v/>
      </c>
      <c r="G27" s="110" t="str">
        <f t="shared" si="1"/>
        <v/>
      </c>
      <c r="H27" s="110" t="str">
        <f t="shared" si="0"/>
        <v/>
      </c>
      <c r="I27" s="111" t="str">
        <f>IF(H27="","",H27*'Port Returns'!$F$130/'Weighted Returns'!$H$3)</f>
        <v/>
      </c>
      <c r="K27">
        <f>IF(B27="",0,'Port Returns'!I31)</f>
        <v>0</v>
      </c>
      <c r="L27">
        <f>IF(B27="",0,'Port Returns'!L31)</f>
        <v>0</v>
      </c>
      <c r="M27">
        <f>IF(ISERROR('Port Returns'!F69*'Port Returns'!G69),0,('Port Returns'!F69*'Port Returns'!G69))</f>
        <v>0</v>
      </c>
      <c r="N27">
        <f>IF(ISERROR('Port Returns'!G69*'Port Returns'!H69),0,'Port Returns'!I69)</f>
        <v>0</v>
      </c>
    </row>
    <row r="28" spans="2:14" x14ac:dyDescent="0.2">
      <c r="B28" s="109" t="str">
        <f>'Port Returns'!C32</f>
        <v/>
      </c>
      <c r="C28" s="73" t="str">
        <f>IF($B28="","",VLOOKUP($B28,'ETF List'!$C$3:$I$90,4,FALSE))</f>
        <v/>
      </c>
      <c r="D28" s="73" t="str">
        <f>IF($B28="","",VLOOKUP($B28,'ETF List'!$C$3:$I$90,5,FALSE))</f>
        <v/>
      </c>
      <c r="E28" s="73" t="str">
        <f>IF($B28="","",VLOOKUP($B28,'ETF List'!$C$3:$I$90,6,FALSE))</f>
        <v/>
      </c>
      <c r="F28" s="110" t="str">
        <f>IF($B28="","",'Weekly  Sum'!I71)</f>
        <v/>
      </c>
      <c r="G28" s="110" t="str">
        <f t="shared" si="1"/>
        <v/>
      </c>
      <c r="H28" s="110" t="str">
        <f t="shared" si="0"/>
        <v/>
      </c>
      <c r="I28" s="111" t="str">
        <f>IF(H28="","",H28*'Port Returns'!$F$130/'Weighted Returns'!$H$3)</f>
        <v/>
      </c>
      <c r="K28">
        <f>IF(B28="",0,'Port Returns'!I32)</f>
        <v>0</v>
      </c>
      <c r="L28">
        <f>IF(B28="",0,'Port Returns'!L32)</f>
        <v>0</v>
      </c>
      <c r="M28">
        <f>IF(ISERROR('Port Returns'!F70*'Port Returns'!G70),0,('Port Returns'!F70*'Port Returns'!G70))</f>
        <v>0</v>
      </c>
      <c r="N28">
        <f>IF(ISERROR('Port Returns'!G70*'Port Returns'!H70),0,'Port Returns'!I70)</f>
        <v>0</v>
      </c>
    </row>
    <row r="29" spans="2:14" x14ac:dyDescent="0.2">
      <c r="B29" s="109" t="str">
        <f>'Port Returns'!C33</f>
        <v/>
      </c>
      <c r="C29" s="73" t="str">
        <f>IF($B29="","",VLOOKUP($B29,'ETF List'!$C$3:$I$90,4,FALSE))</f>
        <v/>
      </c>
      <c r="D29" s="73" t="str">
        <f>IF($B29="","",VLOOKUP($B29,'ETF List'!$C$3:$I$90,5,FALSE))</f>
        <v/>
      </c>
      <c r="E29" s="73" t="str">
        <f>IF($B29="","",VLOOKUP($B29,'ETF List'!$C$3:$I$90,6,FALSE))</f>
        <v/>
      </c>
      <c r="F29" s="110" t="str">
        <f>IF($B29="","",'Weekly  Sum'!I72)</f>
        <v/>
      </c>
      <c r="G29" s="110" t="str">
        <f t="shared" si="1"/>
        <v/>
      </c>
      <c r="H29" s="110" t="str">
        <f t="shared" si="0"/>
        <v/>
      </c>
      <c r="I29" s="111" t="str">
        <f>IF(H29="","",H29*'Port Returns'!$F$130/'Weighted Returns'!$H$3)</f>
        <v/>
      </c>
      <c r="K29">
        <f>IF(B29="",0,'Port Returns'!I33)</f>
        <v>0</v>
      </c>
      <c r="L29">
        <f>IF(B29="",0,'Port Returns'!L33)</f>
        <v>0</v>
      </c>
      <c r="M29">
        <f>IF(ISERROR('Port Returns'!F71*'Port Returns'!G71),0,('Port Returns'!F71*'Port Returns'!G71))</f>
        <v>0</v>
      </c>
      <c r="N29">
        <f>IF(ISERROR('Port Returns'!G71*'Port Returns'!H71),0,'Port Returns'!I71)</f>
        <v>0</v>
      </c>
    </row>
    <row r="30" spans="2:14" x14ac:dyDescent="0.2">
      <c r="B30" s="109" t="str">
        <f>'Port Returns'!C34</f>
        <v/>
      </c>
      <c r="C30" s="73" t="str">
        <f>IF($B30="","",VLOOKUP($B30,'ETF List'!$C$3:$I$90,4,FALSE))</f>
        <v/>
      </c>
      <c r="D30" s="73" t="str">
        <f>IF($B30="","",VLOOKUP($B30,'ETF List'!$C$3:$I$90,5,FALSE))</f>
        <v/>
      </c>
      <c r="E30" s="73" t="str">
        <f>IF($B30="","",VLOOKUP($B30,'ETF List'!$C$3:$I$90,6,FALSE))</f>
        <v/>
      </c>
      <c r="F30" s="110" t="str">
        <f>IF($B30="","",'Weekly  Sum'!I73)</f>
        <v/>
      </c>
      <c r="G30" s="110" t="str">
        <f t="shared" si="1"/>
        <v/>
      </c>
      <c r="H30" s="110" t="str">
        <f t="shared" si="0"/>
        <v/>
      </c>
      <c r="I30" s="111" t="str">
        <f>IF(H30="","",H30*'Port Returns'!$F$130/'Weighted Returns'!$H$3)</f>
        <v/>
      </c>
      <c r="K30">
        <f>IF(B30="",0,'Port Returns'!I34)</f>
        <v>0</v>
      </c>
      <c r="L30">
        <f>IF(B30="",0,'Port Returns'!L34)</f>
        <v>0</v>
      </c>
      <c r="M30">
        <f>IF(ISERROR('Port Returns'!F72*'Port Returns'!G72),0,('Port Returns'!F72*'Port Returns'!G72))</f>
        <v>0</v>
      </c>
      <c r="N30">
        <f>IF(ISERROR('Port Returns'!G72*'Port Returns'!H72),0,'Port Returns'!I72)</f>
        <v>0</v>
      </c>
    </row>
    <row r="31" spans="2:14" x14ac:dyDescent="0.2">
      <c r="B31" s="109" t="str">
        <f>'Port Returns'!C35</f>
        <v/>
      </c>
      <c r="C31" s="73" t="str">
        <f>IF($B31="","",VLOOKUP($B31,'ETF List'!$C$3:$I$90,4,FALSE))</f>
        <v/>
      </c>
      <c r="D31" s="73" t="str">
        <f>IF($B31="","",VLOOKUP($B31,'ETF List'!$C$3:$I$90,5,FALSE))</f>
        <v/>
      </c>
      <c r="E31" s="73" t="str">
        <f>IF($B31="","",VLOOKUP($B31,'ETF List'!$C$3:$I$90,6,FALSE))</f>
        <v/>
      </c>
      <c r="F31" s="110" t="str">
        <f>IF($B31="","",'Weekly  Sum'!I74)</f>
        <v/>
      </c>
      <c r="G31" s="110" t="str">
        <f t="shared" si="1"/>
        <v/>
      </c>
      <c r="H31" s="110" t="str">
        <f t="shared" si="0"/>
        <v/>
      </c>
      <c r="I31" s="111" t="str">
        <f>IF(H31="","",H31*'Port Returns'!$F$130/'Weighted Returns'!$H$3)</f>
        <v/>
      </c>
      <c r="K31">
        <f>IF(B31="",0,'Port Returns'!I35)</f>
        <v>0</v>
      </c>
      <c r="L31">
        <f>IF(B31="",0,'Port Returns'!L35)</f>
        <v>0</v>
      </c>
      <c r="M31">
        <f>IF(ISERROR('Port Returns'!F73*'Port Returns'!G73),0,('Port Returns'!F73*'Port Returns'!G73))</f>
        <v>0</v>
      </c>
      <c r="N31">
        <f>IF(ISERROR('Port Returns'!G73*'Port Returns'!H73),0,'Port Returns'!I73)</f>
        <v>0</v>
      </c>
    </row>
    <row r="32" spans="2:14" x14ac:dyDescent="0.2">
      <c r="B32" s="109" t="str">
        <f>'Port Returns'!C36</f>
        <v/>
      </c>
      <c r="C32" s="73" t="str">
        <f>IF($B32="","",VLOOKUP($B32,'ETF List'!$C$3:$I$90,4,FALSE))</f>
        <v/>
      </c>
      <c r="D32" s="73" t="str">
        <f>IF($B32="","",VLOOKUP($B32,'ETF List'!$C$3:$I$90,5,FALSE))</f>
        <v/>
      </c>
      <c r="E32" s="73" t="str">
        <f>IF($B32="","",VLOOKUP($B32,'ETF List'!$C$3:$I$90,6,FALSE))</f>
        <v/>
      </c>
      <c r="F32" s="110" t="str">
        <f>IF($B32="","",'Weekly  Sum'!I75)</f>
        <v/>
      </c>
      <c r="G32" s="110" t="str">
        <f t="shared" si="1"/>
        <v/>
      </c>
      <c r="H32" s="110" t="str">
        <f t="shared" si="0"/>
        <v/>
      </c>
      <c r="I32" s="111" t="str">
        <f>IF(H32="","",H32*'Port Returns'!$F$130/'Weighted Returns'!$H$3)</f>
        <v/>
      </c>
      <c r="K32">
        <f>IF(B32="",0,'Port Returns'!I36)</f>
        <v>0</v>
      </c>
      <c r="L32">
        <f>IF(B32="",0,'Port Returns'!L36)</f>
        <v>0</v>
      </c>
      <c r="M32">
        <f>IF(ISERROR('Port Returns'!F74*'Port Returns'!G74),0,('Port Returns'!F74*'Port Returns'!G74))</f>
        <v>0</v>
      </c>
      <c r="N32">
        <f>IF(ISERROR('Port Returns'!G74*'Port Returns'!H74),0,'Port Returns'!I74)</f>
        <v>0</v>
      </c>
    </row>
    <row r="33" spans="2:14" x14ac:dyDescent="0.2">
      <c r="B33" s="109" t="str">
        <f>'Port Returns'!C37</f>
        <v/>
      </c>
      <c r="C33" s="73" t="str">
        <f>IF($B33="","",VLOOKUP($B33,'ETF List'!$C$3:$I$90,4,FALSE))</f>
        <v/>
      </c>
      <c r="D33" s="73" t="str">
        <f>IF($B33="","",VLOOKUP($B33,'ETF List'!$C$3:$I$90,5,FALSE))</f>
        <v/>
      </c>
      <c r="E33" s="73" t="str">
        <f>IF($B33="","",VLOOKUP($B33,'ETF List'!$C$3:$I$90,6,FALSE))</f>
        <v/>
      </c>
      <c r="F33" s="110" t="str">
        <f>IF($B33="","",'Weekly  Sum'!I76)</f>
        <v/>
      </c>
      <c r="G33" s="110" t="str">
        <f t="shared" si="1"/>
        <v/>
      </c>
      <c r="H33" s="110" t="str">
        <f t="shared" si="0"/>
        <v/>
      </c>
      <c r="I33" s="111" t="str">
        <f>IF(H33="","",H33*'Port Returns'!$F$130/'Weighted Returns'!$H$3)</f>
        <v/>
      </c>
      <c r="K33">
        <f>IF(B33="",0,'Port Returns'!I37)</f>
        <v>0</v>
      </c>
      <c r="L33">
        <f>IF(B33="",0,'Port Returns'!L37)</f>
        <v>0</v>
      </c>
      <c r="M33">
        <f>IF(ISERROR('Port Returns'!F75*'Port Returns'!G75),0,('Port Returns'!F75*'Port Returns'!G75))</f>
        <v>0</v>
      </c>
      <c r="N33">
        <f>IF(ISERROR('Port Returns'!G75*'Port Returns'!H75),0,'Port Returns'!I75)</f>
        <v>0</v>
      </c>
    </row>
    <row r="34" spans="2:14" x14ac:dyDescent="0.2">
      <c r="B34" s="109" t="str">
        <f>'Port Returns'!C38</f>
        <v/>
      </c>
      <c r="C34" s="185" t="str">
        <f>IF($B34="","",VLOOKUP($B34,'ETF List'!$C$3:$I$90,4,FALSE))</f>
        <v/>
      </c>
      <c r="D34" s="185" t="str">
        <f>IF($B34="","",VLOOKUP($B34,'ETF List'!$C$3:$I$90,5,FALSE))</f>
        <v/>
      </c>
      <c r="E34" s="185" t="str">
        <f>IF($B34="","",VLOOKUP($B34,'ETF List'!$C$3:$I$90,6,FALSE))</f>
        <v/>
      </c>
      <c r="F34" s="112" t="str">
        <f>IF($B34="","",'Weekly  Sum'!I77)</f>
        <v/>
      </c>
      <c r="G34" s="110" t="str">
        <f t="shared" si="1"/>
        <v/>
      </c>
      <c r="H34" s="112" t="str">
        <f t="shared" si="0"/>
        <v/>
      </c>
      <c r="I34" s="113" t="str">
        <f>IF(H34="","",H34*'Port Returns'!$F$130/'Weighted Returns'!$H$3)</f>
        <v/>
      </c>
      <c r="K34">
        <f>IF(B34="",0,'Port Returns'!I38)</f>
        <v>0</v>
      </c>
      <c r="L34">
        <f>IF(B34="",0,'Port Returns'!L38)</f>
        <v>0</v>
      </c>
      <c r="M34">
        <f>IF(ISERROR('Port Returns'!F76*'Port Returns'!G76),0,('Port Returns'!F76*'Port Returns'!G76))</f>
        <v>0</v>
      </c>
      <c r="N34">
        <f>IF(ISERROR('Port Returns'!G76*'Port Returns'!H76),0,'Port Returns'!I76)</f>
        <v>0</v>
      </c>
    </row>
    <row r="35" spans="2:14" x14ac:dyDescent="0.2">
      <c r="F35" s="8"/>
    </row>
    <row r="36" spans="2:14" x14ac:dyDescent="0.2">
      <c r="B36" s="97" t="s">
        <v>32</v>
      </c>
      <c r="C36" s="52"/>
      <c r="D36" s="98" t="s">
        <v>380</v>
      </c>
      <c r="E36" s="98" t="s">
        <v>381</v>
      </c>
      <c r="F36" s="52" t="s">
        <v>382</v>
      </c>
      <c r="G36" s="52" t="s">
        <v>383</v>
      </c>
    </row>
    <row r="37" spans="2:14" x14ac:dyDescent="0.2">
      <c r="B37" s="201" t="s">
        <v>149</v>
      </c>
      <c r="C37" s="158" t="s">
        <v>149</v>
      </c>
      <c r="D37" s="207">
        <f>SUMIF($C$5:$C$34,B37,$F$5:$F$34)</f>
        <v>0.17485792721954754</v>
      </c>
      <c r="E37" s="195">
        <f>AVERAGE('Policy Portfolio'!AD21:AI21)/AVERAGE('Policy Portfolio'!$AD$20:$AI$20)</f>
        <v>9.8385978459877028E-3</v>
      </c>
      <c r="F37" s="198">
        <f>G5</f>
        <v>0</v>
      </c>
      <c r="G37" s="196">
        <f>'Policy Portfolio'!AI21/'Policy Portfolio'!AD21-1</f>
        <v>0</v>
      </c>
    </row>
    <row r="38" spans="2:14" x14ac:dyDescent="0.2">
      <c r="B38" s="201" t="s">
        <v>301</v>
      </c>
      <c r="C38" s="158" t="s">
        <v>313</v>
      </c>
      <c r="D38" s="208">
        <f t="shared" ref="D38:D41" si="2">SUMIF($C$5:$C$34,B38,$F$5:$F$34)</f>
        <v>0.16754611272042105</v>
      </c>
      <c r="E38" s="197">
        <f>AVERAGE('Policy Portfolio'!AD22:AI22)/AVERAGE('Policy Portfolio'!$AD$20:$AI$20)</f>
        <v>0.29427741243833194</v>
      </c>
      <c r="F38" s="199">
        <f>SUMIF($C$5:$C$34,B38,$G$5:$G$34)</f>
        <v>5.21757279527875E-2</v>
      </c>
      <c r="G38" s="194">
        <f>'Policy Portfolio'!AI22/'Policy Portfolio'!AD22-1</f>
        <v>-2.0263424518743856E-3</v>
      </c>
    </row>
    <row r="39" spans="2:14" x14ac:dyDescent="0.2">
      <c r="B39" s="201" t="s">
        <v>350</v>
      </c>
      <c r="C39" s="158" t="s">
        <v>314</v>
      </c>
      <c r="D39" s="208">
        <f t="shared" si="2"/>
        <v>0.12973726210516834</v>
      </c>
      <c r="E39" s="197">
        <f>AVERAGE('Policy Portfolio'!AD23:AI23)/AVERAGE('Policy Portfolio'!$AD$20:$AI$20)</f>
        <v>0.35544499214417358</v>
      </c>
      <c r="F39" s="199">
        <f t="shared" ref="F39:F41" si="3">SUMIF($C$5:$C$34,B39,$G$5:$G$34)</f>
        <v>2.4145299145299139E-2</v>
      </c>
      <c r="G39" s="194">
        <f>'Policy Portfolio'!AI23/'Policy Portfolio'!AD23-1</f>
        <v>6.7164943176000635E-2</v>
      </c>
    </row>
    <row r="40" spans="2:14" x14ac:dyDescent="0.2">
      <c r="B40" s="201" t="s">
        <v>303</v>
      </c>
      <c r="C40" s="158" t="s">
        <v>303</v>
      </c>
      <c r="D40" s="208">
        <f t="shared" si="2"/>
        <v>0.24420221076302531</v>
      </c>
      <c r="E40" s="197">
        <f>AVERAGE('Policy Portfolio'!AD24:AI24)/AVERAGE('Policy Portfolio'!$AD$20:$AI$20)</f>
        <v>0.34043899757150686</v>
      </c>
      <c r="F40" s="199">
        <f t="shared" si="3"/>
        <v>-2.0263424518743123E-3</v>
      </c>
      <c r="G40" s="194">
        <f>'Policy Portfolio'!AI24/'Policy Portfolio'!AD24-1</f>
        <v>2.6576019777502902E-2</v>
      </c>
    </row>
    <row r="41" spans="2:14" x14ac:dyDescent="0.2">
      <c r="B41" s="201" t="s">
        <v>341</v>
      </c>
      <c r="C41" s="158" t="s">
        <v>341</v>
      </c>
      <c r="D41" s="208">
        <f t="shared" si="2"/>
        <v>0.28365648719183773</v>
      </c>
      <c r="E41" s="197" t="e">
        <f>AVERAGE('Policy Portfolio'!AD25:AI25)/AVERAGE('Policy Portfolio'!$AD$20:$AI$20)</f>
        <v>#DIV/0!</v>
      </c>
      <c r="F41" s="199">
        <f t="shared" si="3"/>
        <v>2.6576019777502971E-2</v>
      </c>
      <c r="G41" s="194" t="e">
        <f>'Policy Portfolio'!AI25/'Policy Portfolio'!AD25-1</f>
        <v>#VALUE!</v>
      </c>
    </row>
    <row r="42" spans="2:14" x14ac:dyDescent="0.2">
      <c r="B42" s="202"/>
      <c r="C42" s="203" t="s">
        <v>151</v>
      </c>
      <c r="D42" s="206">
        <f>SUM(D37:D41)</f>
        <v>1</v>
      </c>
      <c r="E42" s="331" t="e">
        <f>SUM(E37:E41)</f>
        <v>#DIV/0!</v>
      </c>
      <c r="F42" s="204">
        <f>I3</f>
        <v>0</v>
      </c>
      <c r="G42" s="205"/>
    </row>
    <row r="43" spans="2:14" x14ac:dyDescent="0.2">
      <c r="F43" s="8"/>
    </row>
    <row r="44" spans="2:14" x14ac:dyDescent="0.2">
      <c r="F44" s="8"/>
    </row>
    <row r="45" spans="2:14" x14ac:dyDescent="0.2">
      <c r="F45" s="8"/>
    </row>
    <row r="46" spans="2:14" x14ac:dyDescent="0.2">
      <c r="F46" s="8"/>
    </row>
    <row r="47" spans="2:14" x14ac:dyDescent="0.2">
      <c r="F47" s="8"/>
    </row>
    <row r="48" spans="2:14" x14ac:dyDescent="0.2">
      <c r="F48" s="8"/>
    </row>
    <row r="49" spans="6:6" x14ac:dyDescent="0.2">
      <c r="F49" s="8"/>
    </row>
    <row r="50" spans="6:6" x14ac:dyDescent="0.2">
      <c r="F50" s="8"/>
    </row>
    <row r="51" spans="6:6" x14ac:dyDescent="0.2">
      <c r="F51" s="8"/>
    </row>
    <row r="52" spans="6:6" x14ac:dyDescent="0.2">
      <c r="F52" s="8"/>
    </row>
    <row r="53" spans="6:6" x14ac:dyDescent="0.2">
      <c r="F53" s="8"/>
    </row>
    <row r="54" spans="6:6" x14ac:dyDescent="0.2">
      <c r="F54" s="8"/>
    </row>
    <row r="55" spans="6:6" x14ac:dyDescent="0.2">
      <c r="F55" s="8"/>
    </row>
    <row r="56" spans="6:6" x14ac:dyDescent="0.2">
      <c r="F56" s="8"/>
    </row>
    <row r="57" spans="6:6" x14ac:dyDescent="0.2">
      <c r="F57" s="8"/>
    </row>
    <row r="58" spans="6:6" x14ac:dyDescent="0.2">
      <c r="F58" s="8"/>
    </row>
    <row r="59" spans="6:6" x14ac:dyDescent="0.2">
      <c r="F59" s="8"/>
    </row>
    <row r="60" spans="6:6" x14ac:dyDescent="0.2">
      <c r="F60" s="8"/>
    </row>
    <row r="61" spans="6:6" x14ac:dyDescent="0.2">
      <c r="F61" s="8"/>
    </row>
    <row r="62" spans="6:6" x14ac:dyDescent="0.2">
      <c r="F62" s="8"/>
    </row>
    <row r="63" spans="6:6" x14ac:dyDescent="0.2">
      <c r="F63" s="8"/>
    </row>
    <row r="64" spans="6:6" x14ac:dyDescent="0.2">
      <c r="F64" s="8"/>
    </row>
    <row r="65" spans="6:6" x14ac:dyDescent="0.2">
      <c r="F65" s="8"/>
    </row>
    <row r="66" spans="6:6" x14ac:dyDescent="0.2">
      <c r="F66" s="8"/>
    </row>
    <row r="67" spans="6:6" x14ac:dyDescent="0.2">
      <c r="F67" s="8"/>
    </row>
    <row r="68" spans="6:6" x14ac:dyDescent="0.2">
      <c r="F68" s="8"/>
    </row>
    <row r="69" spans="6:6" x14ac:dyDescent="0.2">
      <c r="F69" s="8"/>
    </row>
    <row r="70" spans="6:6" x14ac:dyDescent="0.2">
      <c r="F70" s="8"/>
    </row>
    <row r="71" spans="6:6" x14ac:dyDescent="0.2">
      <c r="F71" s="8"/>
    </row>
    <row r="72" spans="6:6" x14ac:dyDescent="0.2">
      <c r="F72" s="8"/>
    </row>
    <row r="73" spans="6:6" x14ac:dyDescent="0.2">
      <c r="F73" s="8"/>
    </row>
    <row r="74" spans="6:6" x14ac:dyDescent="0.2">
      <c r="F74" s="8"/>
    </row>
    <row r="75" spans="6:6" x14ac:dyDescent="0.2">
      <c r="F75" s="8"/>
    </row>
    <row r="76" spans="6:6" x14ac:dyDescent="0.2">
      <c r="F76" s="8"/>
    </row>
    <row r="77" spans="6:6" x14ac:dyDescent="0.2">
      <c r="F77" s="8"/>
    </row>
    <row r="78" spans="6:6" x14ac:dyDescent="0.2">
      <c r="F78" s="8"/>
    </row>
    <row r="79" spans="6:6" x14ac:dyDescent="0.2">
      <c r="F79" s="8"/>
    </row>
    <row r="80" spans="6:6" x14ac:dyDescent="0.2">
      <c r="F80" s="8"/>
    </row>
    <row r="81" spans="6:6" x14ac:dyDescent="0.2">
      <c r="F81" s="8"/>
    </row>
    <row r="82" spans="6:6" x14ac:dyDescent="0.2">
      <c r="F82" s="8"/>
    </row>
    <row r="83" spans="6:6" x14ac:dyDescent="0.2">
      <c r="F83" s="8"/>
    </row>
    <row r="84" spans="6:6" x14ac:dyDescent="0.2">
      <c r="F84" s="8"/>
    </row>
    <row r="85" spans="6:6" x14ac:dyDescent="0.2">
      <c r="F85" s="8"/>
    </row>
    <row r="86" spans="6:6" x14ac:dyDescent="0.2">
      <c r="F86" s="8"/>
    </row>
    <row r="87" spans="6:6" x14ac:dyDescent="0.2">
      <c r="F87" s="8"/>
    </row>
    <row r="88" spans="6:6" x14ac:dyDescent="0.2">
      <c r="F88" s="8"/>
    </row>
    <row r="89" spans="6:6" x14ac:dyDescent="0.2">
      <c r="F89" s="8"/>
    </row>
    <row r="90" spans="6:6" x14ac:dyDescent="0.2">
      <c r="F90" s="8"/>
    </row>
    <row r="91" spans="6:6" x14ac:dyDescent="0.2">
      <c r="F9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66</vt:i4>
      </vt:variant>
    </vt:vector>
  </HeadingPairs>
  <TitlesOfParts>
    <vt:vector size="78" baseType="lpstr">
      <vt:lpstr>ETF List</vt:lpstr>
      <vt:lpstr>Final Report</vt:lpstr>
      <vt:lpstr>Policy Portfolio</vt:lpstr>
      <vt:lpstr>Risk &amp; Returns</vt:lpstr>
      <vt:lpstr>Trades</vt:lpstr>
      <vt:lpstr>Price Inputs</vt:lpstr>
      <vt:lpstr>Current Portfolio</vt:lpstr>
      <vt:lpstr>Port Returns</vt:lpstr>
      <vt:lpstr>Portfolio Bucket</vt:lpstr>
      <vt:lpstr>Calculations</vt:lpstr>
      <vt:lpstr>Weekly  Sum</vt:lpstr>
      <vt:lpstr>Weighted Returns</vt:lpstr>
      <vt:lpstr>Alternatives</vt:lpstr>
      <vt:lpstr>Bonds</vt:lpstr>
      <vt:lpstr>Buy_Price</vt:lpstr>
      <vt:lpstr>Cost_Basis</vt:lpstr>
      <vt:lpstr>Current_Ticker</vt:lpstr>
      <vt:lpstr>Dates</vt:lpstr>
      <vt:lpstr>Extra_Cash</vt:lpstr>
      <vt:lpstr>Initial_Cash</vt:lpstr>
      <vt:lpstr>Intl_Equity</vt:lpstr>
      <vt:lpstr>'Current Portfolio'!Mrkt_Value</vt:lpstr>
      <vt:lpstr>'Port Returns'!Mrkt_Value</vt:lpstr>
      <vt:lpstr>Policy_Tickers</vt:lpstr>
      <vt:lpstr>PPrices1</vt:lpstr>
      <vt:lpstr>PPrices2</vt:lpstr>
      <vt:lpstr>PPrices3</vt:lpstr>
      <vt:lpstr>PPrices4</vt:lpstr>
      <vt:lpstr>PPrices5</vt:lpstr>
      <vt:lpstr>PPrices6</vt:lpstr>
      <vt:lpstr>PPrices7</vt:lpstr>
      <vt:lpstr>PPrices8</vt:lpstr>
      <vt:lpstr>PPrices9</vt:lpstr>
      <vt:lpstr>Prices_1</vt:lpstr>
      <vt:lpstr>Prices10</vt:lpstr>
      <vt:lpstr>Prices11</vt:lpstr>
      <vt:lpstr>Prices12</vt:lpstr>
      <vt:lpstr>Prices13</vt:lpstr>
      <vt:lpstr>Prices14</vt:lpstr>
      <vt:lpstr>Prices15</vt:lpstr>
      <vt:lpstr>Prices16</vt:lpstr>
      <vt:lpstr>Prices17</vt:lpstr>
      <vt:lpstr>Prices18</vt:lpstr>
      <vt:lpstr>Prices19</vt:lpstr>
      <vt:lpstr>Prices2</vt:lpstr>
      <vt:lpstr>Prices20</vt:lpstr>
      <vt:lpstr>Prices21</vt:lpstr>
      <vt:lpstr>Prices22</vt:lpstr>
      <vt:lpstr>Prices23</vt:lpstr>
      <vt:lpstr>Prices24</vt:lpstr>
      <vt:lpstr>Prices25</vt:lpstr>
      <vt:lpstr>Prices26</vt:lpstr>
      <vt:lpstr>Prices27</vt:lpstr>
      <vt:lpstr>Prices28</vt:lpstr>
      <vt:lpstr>Prices29</vt:lpstr>
      <vt:lpstr>Prices3</vt:lpstr>
      <vt:lpstr>Prices30</vt:lpstr>
      <vt:lpstr>Prices4</vt:lpstr>
      <vt:lpstr>Prices5</vt:lpstr>
      <vt:lpstr>Prices6</vt:lpstr>
      <vt:lpstr>Prices7</vt:lpstr>
      <vt:lpstr>Prices8</vt:lpstr>
      <vt:lpstr>Prices9</vt:lpstr>
      <vt:lpstr>'Current Portfolio'!Print_Area</vt:lpstr>
      <vt:lpstr>'ETF List'!Print_Area</vt:lpstr>
      <vt:lpstr>'Final Report'!Print_Area</vt:lpstr>
      <vt:lpstr>'Policy Portfolio'!Print_Area</vt:lpstr>
      <vt:lpstr>'Port Returns'!Print_Area</vt:lpstr>
      <vt:lpstr>'Price Inputs'!Print_Area</vt:lpstr>
      <vt:lpstr>'Risk &amp; Returns'!Print_Area</vt:lpstr>
      <vt:lpstr>Trades!Print_Area</vt:lpstr>
      <vt:lpstr>Realized_Returns</vt:lpstr>
      <vt:lpstr>Sell_Price</vt:lpstr>
      <vt:lpstr>'Current Portfolio'!Share_Count</vt:lpstr>
      <vt:lpstr>Share_Count</vt:lpstr>
      <vt:lpstr>Tickers</vt:lpstr>
      <vt:lpstr>Unrealized_Returns</vt:lpstr>
      <vt:lpstr>US_Equity</vt:lpstr>
    </vt:vector>
  </TitlesOfParts>
  <Company>Rice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 User</dc:creator>
  <cp:lastModifiedBy>Christiana Pantelidou</cp:lastModifiedBy>
  <cp:lastPrinted>2017-06-26T00:52:59Z</cp:lastPrinted>
  <dcterms:created xsi:type="dcterms:W3CDTF">2017-01-03T17:57:19Z</dcterms:created>
  <dcterms:modified xsi:type="dcterms:W3CDTF">2021-04-23T23:54:54Z</dcterms:modified>
</cp:coreProperties>
</file>