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 defaultThemeVersion="124226"/>
  <bookViews>
    <workbookView xWindow="-120" yWindow="-120" windowWidth="20730" windowHeight="11310" firstSheet="6" activeTab="11"/>
  </bookViews>
  <sheets>
    <sheet name="Antenna nearfield zone" sheetId="2" r:id="rId1"/>
    <sheet name="TR50426" sheetId="3" r:id="rId2"/>
    <sheet name="Friss" sheetId="4" r:id="rId3"/>
    <sheet name="NASA 8719.12" sheetId="5" r:id="rId4"/>
    <sheet name="AFMAN91-201" sheetId="6" r:id="rId5"/>
    <sheet name="AFMAN Graphs" sheetId="7" r:id="rId6"/>
    <sheet name="Immunity specs" sheetId="8" r:id="rId7"/>
    <sheet name="Products" sheetId="9" r:id="rId8"/>
    <sheet name="Calc1" sheetId="10" r:id="rId9"/>
    <sheet name="TO 31Z-10-4" sheetId="11" r:id="rId10"/>
    <sheet name="Transmitter Data" sheetId="1" r:id="rId11"/>
    <sheet name="DropDown" sheetId="14" r:id="rId12"/>
  </sheets>
  <definedNames>
    <definedName name="BlueTooth">'Transmitter Data'!$BC$69:$BC$75</definedName>
    <definedName name="MobileRadio">'Transmitter Data'!$ES$69:$ES$75</definedName>
    <definedName name="SGM">'Transmitter Data'!$DN$69:$DN$73</definedName>
    <definedName name="SRD">'Transmitter Data'!$FX$69:$FX$74</definedName>
    <definedName name="WiFI">'Transmitter Data'!$CH$69:$CH$87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4" l="1"/>
  <c r="E4" i="14"/>
  <c r="C4" i="14"/>
  <c r="B4" i="14"/>
  <c r="N4" i="14"/>
  <c r="CB69" i="1" l="1"/>
  <c r="CA69" i="1"/>
  <c r="BY69" i="1"/>
  <c r="BX69" i="1"/>
  <c r="BE69" i="1"/>
  <c r="BH69" i="1" s="1"/>
  <c r="BI69" i="1" s="1"/>
  <c r="GW74" i="1"/>
  <c r="GV74" i="1"/>
  <c r="GT74" i="1"/>
  <c r="GS74" i="1"/>
  <c r="GI74" i="1"/>
  <c r="GH74" i="1"/>
  <c r="GG74" i="1"/>
  <c r="GF74" i="1"/>
  <c r="FZ74" i="1"/>
  <c r="GC74" i="1" s="1"/>
  <c r="GD74" i="1" s="1"/>
  <c r="GW73" i="1"/>
  <c r="GV73" i="1"/>
  <c r="GT73" i="1"/>
  <c r="GS73" i="1"/>
  <c r="FZ73" i="1"/>
  <c r="GC73" i="1" s="1"/>
  <c r="GD73" i="1" s="1"/>
  <c r="GV72" i="1"/>
  <c r="GS72" i="1"/>
  <c r="GC72" i="1"/>
  <c r="GD72" i="1" s="1"/>
  <c r="GA72" i="1"/>
  <c r="GW72" i="1" s="1"/>
  <c r="GV71" i="1"/>
  <c r="GS71" i="1"/>
  <c r="GC71" i="1"/>
  <c r="GD71" i="1" s="1"/>
  <c r="GA71" i="1"/>
  <c r="GT71" i="1" s="1"/>
  <c r="GV70" i="1"/>
  <c r="GS70" i="1"/>
  <c r="GC70" i="1"/>
  <c r="GD70" i="1" s="1"/>
  <c r="GA70" i="1"/>
  <c r="GW70" i="1" s="1"/>
  <c r="GV69" i="1"/>
  <c r="GS69" i="1"/>
  <c r="GC69" i="1"/>
  <c r="GD69" i="1" s="1"/>
  <c r="GA69" i="1"/>
  <c r="GT69" i="1" s="1"/>
  <c r="FR75" i="1"/>
  <c r="FQ75" i="1"/>
  <c r="FO75" i="1"/>
  <c r="FN75" i="1"/>
  <c r="FD75" i="1"/>
  <c r="FC75" i="1"/>
  <c r="FB75" i="1"/>
  <c r="FA75" i="1"/>
  <c r="EU75" i="1"/>
  <c r="EX75" i="1" s="1"/>
  <c r="EY75" i="1" s="1"/>
  <c r="FR74" i="1"/>
  <c r="FQ74" i="1"/>
  <c r="FO74" i="1"/>
  <c r="FN74" i="1"/>
  <c r="FD74" i="1"/>
  <c r="FC74" i="1"/>
  <c r="FB74" i="1"/>
  <c r="FA74" i="1"/>
  <c r="EU74" i="1"/>
  <c r="EX74" i="1" s="1"/>
  <c r="EY74" i="1" s="1"/>
  <c r="FR73" i="1"/>
  <c r="FQ73" i="1"/>
  <c r="FO73" i="1"/>
  <c r="FN73" i="1"/>
  <c r="EU73" i="1"/>
  <c r="EX73" i="1" s="1"/>
  <c r="EY73" i="1" s="1"/>
  <c r="FR72" i="1"/>
  <c r="FQ72" i="1"/>
  <c r="FO72" i="1"/>
  <c r="FN72" i="1"/>
  <c r="EU72" i="1"/>
  <c r="EX72" i="1" s="1"/>
  <c r="EY72" i="1" s="1"/>
  <c r="FR71" i="1"/>
  <c r="FQ71" i="1"/>
  <c r="FO71" i="1"/>
  <c r="FN71" i="1"/>
  <c r="EU71" i="1"/>
  <c r="EX71" i="1" s="1"/>
  <c r="EY71" i="1" s="1"/>
  <c r="FR70" i="1"/>
  <c r="FQ70" i="1"/>
  <c r="FO70" i="1"/>
  <c r="FN70" i="1"/>
  <c r="EU70" i="1"/>
  <c r="EX70" i="1" s="1"/>
  <c r="EY70" i="1" s="1"/>
  <c r="FR69" i="1"/>
  <c r="FQ69" i="1"/>
  <c r="FO69" i="1"/>
  <c r="FN69" i="1"/>
  <c r="EU69" i="1"/>
  <c r="EX69" i="1" s="1"/>
  <c r="EY69" i="1" s="1"/>
  <c r="EM73" i="1"/>
  <c r="EL73" i="1"/>
  <c r="EJ73" i="1"/>
  <c r="EI73" i="1"/>
  <c r="DP73" i="1"/>
  <c r="DS73" i="1" s="1"/>
  <c r="DT73" i="1" s="1"/>
  <c r="EM72" i="1"/>
  <c r="EL72" i="1"/>
  <c r="EJ72" i="1"/>
  <c r="EI72" i="1"/>
  <c r="DP72" i="1"/>
  <c r="DS72" i="1" s="1"/>
  <c r="DT72" i="1" s="1"/>
  <c r="EM71" i="1"/>
  <c r="EL71" i="1"/>
  <c r="EJ71" i="1"/>
  <c r="EI71" i="1"/>
  <c r="DP71" i="1"/>
  <c r="DS71" i="1" s="1"/>
  <c r="DT71" i="1" s="1"/>
  <c r="EM70" i="1"/>
  <c r="EL70" i="1"/>
  <c r="EJ70" i="1"/>
  <c r="EI70" i="1"/>
  <c r="DP70" i="1"/>
  <c r="DS70" i="1" s="1"/>
  <c r="DT70" i="1" s="1"/>
  <c r="EM69" i="1"/>
  <c r="EL69" i="1"/>
  <c r="EJ69" i="1"/>
  <c r="EI69" i="1"/>
  <c r="DP69" i="1"/>
  <c r="DS69" i="1" s="1"/>
  <c r="DT69" i="1" s="1"/>
  <c r="DG72" i="1"/>
  <c r="DF72" i="1"/>
  <c r="DD72" i="1"/>
  <c r="DC72" i="1"/>
  <c r="CJ72" i="1"/>
  <c r="CM72" i="1" s="1"/>
  <c r="CN72" i="1" s="1"/>
  <c r="DG71" i="1"/>
  <c r="DF71" i="1"/>
  <c r="DD71" i="1"/>
  <c r="DC71" i="1"/>
  <c r="CJ71" i="1"/>
  <c r="CM71" i="1" s="1"/>
  <c r="CN71" i="1" s="1"/>
  <c r="DG70" i="1"/>
  <c r="DF70" i="1"/>
  <c r="DD70" i="1"/>
  <c r="DC70" i="1"/>
  <c r="CJ70" i="1"/>
  <c r="CM70" i="1" s="1"/>
  <c r="CN70" i="1" s="1"/>
  <c r="DG69" i="1"/>
  <c r="DF69" i="1"/>
  <c r="DD69" i="1"/>
  <c r="DC69" i="1"/>
  <c r="CJ69" i="1"/>
  <c r="CM69" i="1" s="1"/>
  <c r="CN69" i="1" s="1"/>
  <c r="BR69" i="1" l="1"/>
  <c r="BV69" i="1"/>
  <c r="BQ69" i="1"/>
  <c r="BT69" i="1"/>
  <c r="BS69" i="1"/>
  <c r="GW69" i="1"/>
  <c r="GT70" i="1"/>
  <c r="GW71" i="1"/>
  <c r="GT72" i="1"/>
  <c r="GQ73" i="1"/>
  <c r="GM73" i="1"/>
  <c r="GL73" i="1"/>
  <c r="GO73" i="1"/>
  <c r="GN73" i="1"/>
  <c r="GL74" i="1"/>
  <c r="GN74" i="1"/>
  <c r="GM74" i="1"/>
  <c r="GQ74" i="1"/>
  <c r="GO74" i="1"/>
  <c r="GQ71" i="1"/>
  <c r="GO71" i="1"/>
  <c r="GN71" i="1"/>
  <c r="GM71" i="1"/>
  <c r="GL71" i="1"/>
  <c r="GO69" i="1"/>
  <c r="GN69" i="1"/>
  <c r="GM69" i="1"/>
  <c r="GQ69" i="1"/>
  <c r="GL69" i="1"/>
  <c r="GQ70" i="1"/>
  <c r="GM70" i="1"/>
  <c r="GL70" i="1"/>
  <c r="GO70" i="1"/>
  <c r="GN70" i="1"/>
  <c r="GN72" i="1"/>
  <c r="GM72" i="1"/>
  <c r="GQ72" i="1"/>
  <c r="GL72" i="1"/>
  <c r="GO72" i="1"/>
  <c r="FL70" i="1"/>
  <c r="FH70" i="1"/>
  <c r="FG70" i="1"/>
  <c r="FJ70" i="1"/>
  <c r="FI70" i="1"/>
  <c r="FG72" i="1"/>
  <c r="FJ72" i="1"/>
  <c r="FI72" i="1"/>
  <c r="FH72" i="1"/>
  <c r="FL72" i="1"/>
  <c r="FL74" i="1"/>
  <c r="FG74" i="1"/>
  <c r="FJ74" i="1"/>
  <c r="FI74" i="1"/>
  <c r="FH74" i="1"/>
  <c r="FI69" i="1"/>
  <c r="FH69" i="1"/>
  <c r="FL69" i="1"/>
  <c r="FG69" i="1"/>
  <c r="FJ69" i="1"/>
  <c r="FL71" i="1"/>
  <c r="FJ71" i="1"/>
  <c r="FH71" i="1"/>
  <c r="FG71" i="1"/>
  <c r="FI71" i="1"/>
  <c r="FG73" i="1"/>
  <c r="FJ73" i="1"/>
  <c r="FI73" i="1"/>
  <c r="FH73" i="1"/>
  <c r="FL73" i="1"/>
  <c r="FL75" i="1"/>
  <c r="FG75" i="1"/>
  <c r="FJ75" i="1"/>
  <c r="FI75" i="1"/>
  <c r="FH75" i="1"/>
  <c r="EG71" i="1"/>
  <c r="EB71" i="1"/>
  <c r="EE71" i="1"/>
  <c r="EC71" i="1"/>
  <c r="ED71" i="1"/>
  <c r="EG72" i="1"/>
  <c r="EB72" i="1"/>
  <c r="EE72" i="1"/>
  <c r="ED72" i="1"/>
  <c r="EC72" i="1"/>
  <c r="EG69" i="1"/>
  <c r="EB69" i="1"/>
  <c r="EE69" i="1"/>
  <c r="ED69" i="1"/>
  <c r="EC69" i="1"/>
  <c r="EG73" i="1"/>
  <c r="EB73" i="1"/>
  <c r="EE73" i="1"/>
  <c r="ED73" i="1"/>
  <c r="EC73" i="1"/>
  <c r="EG70" i="1"/>
  <c r="EB70" i="1"/>
  <c r="EE70" i="1"/>
  <c r="ED70" i="1"/>
  <c r="EC70" i="1"/>
  <c r="CY69" i="1"/>
  <c r="CX69" i="1"/>
  <c r="CW69" i="1"/>
  <c r="DA69" i="1"/>
  <c r="CV69" i="1"/>
  <c r="DA70" i="1"/>
  <c r="CY70" i="1"/>
  <c r="CV70" i="1"/>
  <c r="CX70" i="1"/>
  <c r="CW70" i="1"/>
  <c r="DA71" i="1"/>
  <c r="CV71" i="1"/>
  <c r="CY71" i="1"/>
  <c r="CW71" i="1"/>
  <c r="CX71" i="1"/>
  <c r="DA72" i="1"/>
  <c r="CV72" i="1"/>
  <c r="CY72" i="1"/>
  <c r="CW72" i="1"/>
  <c r="CX72" i="1"/>
  <c r="Z91" i="1"/>
  <c r="Z92" i="1"/>
  <c r="W91" i="1"/>
  <c r="W92" i="1"/>
  <c r="J92" i="1"/>
  <c r="K92" i="1"/>
  <c r="L92" i="1"/>
  <c r="M92" i="1"/>
  <c r="X92" i="1"/>
  <c r="AA92" i="1"/>
  <c r="J91" i="1"/>
  <c r="K91" i="1"/>
  <c r="L91" i="1"/>
  <c r="M91" i="1"/>
  <c r="X91" i="1"/>
  <c r="AA91" i="1"/>
  <c r="D92" i="1"/>
  <c r="G92" i="1" s="1"/>
  <c r="H92" i="1" s="1"/>
  <c r="D91" i="1"/>
  <c r="G91" i="1" s="1"/>
  <c r="H91" i="1" s="1"/>
  <c r="Q92" i="1" l="1"/>
  <c r="P92" i="1"/>
  <c r="U92" i="1"/>
  <c r="S92" i="1"/>
  <c r="R92" i="1"/>
  <c r="P91" i="1"/>
  <c r="Q91" i="1"/>
  <c r="R91" i="1"/>
  <c r="S91" i="1"/>
  <c r="U91" i="1"/>
  <c r="I4" i="4"/>
  <c r="J4" i="4"/>
  <c r="K4" i="4"/>
  <c r="L4" i="4"/>
  <c r="I5" i="4"/>
  <c r="J5" i="4"/>
  <c r="K5" i="4"/>
  <c r="L5" i="4"/>
  <c r="I6" i="4"/>
  <c r="J6" i="4"/>
  <c r="K6" i="4"/>
  <c r="L6" i="4"/>
  <c r="I7" i="4"/>
  <c r="J7" i="4"/>
  <c r="K7" i="4"/>
  <c r="L7" i="4"/>
  <c r="I8" i="4"/>
  <c r="J8" i="4"/>
  <c r="K8" i="4"/>
  <c r="L8" i="4"/>
  <c r="I9" i="4"/>
  <c r="J9" i="4"/>
  <c r="K9" i="4"/>
  <c r="L9" i="4"/>
  <c r="I10" i="4"/>
  <c r="J10" i="4"/>
  <c r="K10" i="4"/>
  <c r="L10" i="4"/>
  <c r="I11" i="4"/>
  <c r="J11" i="4"/>
  <c r="K11" i="4"/>
  <c r="L11" i="4"/>
  <c r="I12" i="4"/>
  <c r="J12" i="4"/>
  <c r="K12" i="4"/>
  <c r="L12" i="4"/>
  <c r="I13" i="4"/>
  <c r="J13" i="4"/>
  <c r="K13" i="4"/>
  <c r="L13" i="4"/>
  <c r="I14" i="4"/>
  <c r="J14" i="4"/>
  <c r="K14" i="4"/>
  <c r="L14" i="4"/>
  <c r="I15" i="4"/>
  <c r="J15" i="4"/>
  <c r="K15" i="4"/>
  <c r="L15" i="4"/>
  <c r="I16" i="4"/>
  <c r="J16" i="4"/>
  <c r="K16" i="4"/>
  <c r="L16" i="4"/>
  <c r="I17" i="4"/>
  <c r="J17" i="4"/>
  <c r="K17" i="4"/>
  <c r="L17" i="4"/>
  <c r="I18" i="4"/>
  <c r="J18" i="4"/>
  <c r="K18" i="4"/>
  <c r="L18" i="4"/>
  <c r="I19" i="4"/>
  <c r="J19" i="4"/>
  <c r="K19" i="4"/>
  <c r="L19" i="4"/>
  <c r="I20" i="4"/>
  <c r="J20" i="4"/>
  <c r="K20" i="4"/>
  <c r="L20" i="4"/>
  <c r="I21" i="4"/>
  <c r="J21" i="4"/>
  <c r="K21" i="4"/>
  <c r="L21" i="4"/>
  <c r="I22" i="4"/>
  <c r="J22" i="4"/>
  <c r="K22" i="4"/>
  <c r="L22" i="4"/>
  <c r="K3" i="4"/>
  <c r="L3" i="4"/>
  <c r="J3" i="4"/>
  <c r="I3" i="4"/>
  <c r="J74" i="1" l="1"/>
  <c r="J4" i="14" s="1"/>
  <c r="K74" i="1"/>
  <c r="K4" i="14" s="1"/>
  <c r="L74" i="1"/>
  <c r="L4" i="14" s="1"/>
  <c r="M74" i="1"/>
  <c r="M4" i="14" s="1"/>
  <c r="J75" i="1"/>
  <c r="K75" i="1"/>
  <c r="L75" i="1"/>
  <c r="M75" i="1"/>
  <c r="J76" i="1"/>
  <c r="K76" i="1"/>
  <c r="L76" i="1"/>
  <c r="M76" i="1"/>
  <c r="J77" i="1"/>
  <c r="K77" i="1"/>
  <c r="L77" i="1"/>
  <c r="M77" i="1"/>
  <c r="J78" i="1"/>
  <c r="K78" i="1"/>
  <c r="L78" i="1"/>
  <c r="M78" i="1"/>
  <c r="J79" i="1"/>
  <c r="K79" i="1"/>
  <c r="L79" i="1"/>
  <c r="M79" i="1"/>
  <c r="J80" i="1"/>
  <c r="K80" i="1"/>
  <c r="L80" i="1"/>
  <c r="M80" i="1"/>
  <c r="J81" i="1"/>
  <c r="K81" i="1"/>
  <c r="L81" i="1"/>
  <c r="M81" i="1"/>
  <c r="J82" i="1"/>
  <c r="K82" i="1"/>
  <c r="L82" i="1"/>
  <c r="M82" i="1"/>
  <c r="J83" i="1"/>
  <c r="K83" i="1"/>
  <c r="L83" i="1"/>
  <c r="M83" i="1"/>
  <c r="J84" i="1"/>
  <c r="K84" i="1"/>
  <c r="L84" i="1"/>
  <c r="M84" i="1"/>
  <c r="J85" i="1"/>
  <c r="K85" i="1"/>
  <c r="L85" i="1"/>
  <c r="M85" i="1"/>
  <c r="J86" i="1"/>
  <c r="K86" i="1"/>
  <c r="L86" i="1"/>
  <c r="M86" i="1"/>
  <c r="J87" i="1"/>
  <c r="K87" i="1"/>
  <c r="L87" i="1"/>
  <c r="M87" i="1"/>
  <c r="J88" i="1"/>
  <c r="K88" i="1"/>
  <c r="L88" i="1"/>
  <c r="M88" i="1"/>
  <c r="J89" i="1"/>
  <c r="K89" i="1"/>
  <c r="L89" i="1"/>
  <c r="M89" i="1"/>
  <c r="J90" i="1"/>
  <c r="K90" i="1"/>
  <c r="L90" i="1"/>
  <c r="M90" i="1"/>
  <c r="G73" i="1" l="1"/>
  <c r="H73" i="1" s="1"/>
  <c r="E73" i="1"/>
  <c r="X73" i="1" s="1"/>
  <c r="W73" i="1"/>
  <c r="Z73" i="1"/>
  <c r="E72" i="1"/>
  <c r="G72" i="1"/>
  <c r="H72" i="1" s="1"/>
  <c r="W72" i="1"/>
  <c r="Z72" i="1"/>
  <c r="E71" i="1"/>
  <c r="AA71" i="1" s="1"/>
  <c r="G71" i="1"/>
  <c r="H71" i="1" s="1"/>
  <c r="W71" i="1"/>
  <c r="Z71" i="1"/>
  <c r="W70" i="1"/>
  <c r="Z70" i="1"/>
  <c r="G70" i="1"/>
  <c r="H70" i="1" s="1"/>
  <c r="E70" i="1"/>
  <c r="AA70" i="1" s="1"/>
  <c r="Q71" i="1" l="1"/>
  <c r="P71" i="1"/>
  <c r="S71" i="1"/>
  <c r="AA73" i="1"/>
  <c r="GG71" i="1"/>
  <c r="FD71" i="1"/>
  <c r="DY71" i="1"/>
  <c r="CS71" i="1"/>
  <c r="DX71" i="1"/>
  <c r="CR71" i="1"/>
  <c r="DW71" i="1"/>
  <c r="GF71" i="1"/>
  <c r="FC71" i="1"/>
  <c r="CQ71" i="1"/>
  <c r="GI71" i="1"/>
  <c r="FB71" i="1"/>
  <c r="GH71" i="1"/>
  <c r="FA71" i="1"/>
  <c r="DV71" i="1"/>
  <c r="CP71" i="1"/>
  <c r="K71" i="1"/>
  <c r="L71" i="1"/>
  <c r="M71" i="1"/>
  <c r="J71" i="1"/>
  <c r="GI70" i="1"/>
  <c r="FB70" i="1"/>
  <c r="DV70" i="1"/>
  <c r="CP70" i="1"/>
  <c r="DY70" i="1"/>
  <c r="GH70" i="1"/>
  <c r="FA70" i="1"/>
  <c r="CS70" i="1"/>
  <c r="DX70" i="1"/>
  <c r="GG70" i="1"/>
  <c r="FD70" i="1"/>
  <c r="CR70" i="1"/>
  <c r="GF70" i="1"/>
  <c r="FC70" i="1"/>
  <c r="DW70" i="1"/>
  <c r="CQ70" i="1"/>
  <c r="K70" i="1"/>
  <c r="L70" i="1"/>
  <c r="M70" i="1"/>
  <c r="J70" i="1"/>
  <c r="X70" i="1"/>
  <c r="X71" i="1"/>
  <c r="GG73" i="1"/>
  <c r="FD73" i="1"/>
  <c r="DW73" i="1"/>
  <c r="GF73" i="1"/>
  <c r="FC73" i="1"/>
  <c r="DV73" i="1"/>
  <c r="GI73" i="1"/>
  <c r="FB73" i="1"/>
  <c r="DY73" i="1"/>
  <c r="GH73" i="1"/>
  <c r="FA73" i="1"/>
  <c r="DX73" i="1"/>
  <c r="K73" i="1"/>
  <c r="L73" i="1"/>
  <c r="M73" i="1"/>
  <c r="J73" i="1"/>
  <c r="GI72" i="1"/>
  <c r="FB72" i="1"/>
  <c r="DX72" i="1"/>
  <c r="CR72" i="1"/>
  <c r="CQ72" i="1"/>
  <c r="CP72" i="1"/>
  <c r="GH72" i="1"/>
  <c r="FA72" i="1"/>
  <c r="DW72" i="1"/>
  <c r="GG72" i="1"/>
  <c r="FD72" i="1"/>
  <c r="DV72" i="1"/>
  <c r="GF72" i="1"/>
  <c r="FC72" i="1"/>
  <c r="DY72" i="1"/>
  <c r="CS72" i="1"/>
  <c r="K72" i="1"/>
  <c r="L72" i="1"/>
  <c r="M72" i="1"/>
  <c r="J72" i="1"/>
  <c r="P73" i="1"/>
  <c r="R73" i="1"/>
  <c r="Q73" i="1"/>
  <c r="S73" i="1"/>
  <c r="U73" i="1"/>
  <c r="AA72" i="1"/>
  <c r="X72" i="1"/>
  <c r="Q72" i="1"/>
  <c r="P72" i="1"/>
  <c r="R72" i="1"/>
  <c r="S72" i="1"/>
  <c r="U72" i="1"/>
  <c r="U71" i="1"/>
  <c r="R71" i="1"/>
  <c r="U70" i="1"/>
  <c r="P70" i="1"/>
  <c r="R70" i="1"/>
  <c r="S70" i="1"/>
  <c r="Q70" i="1"/>
  <c r="C20" i="3"/>
  <c r="C18" i="3" s="1"/>
  <c r="Z69" i="1" l="1"/>
  <c r="Z74" i="1"/>
  <c r="Z4" i="14" s="1"/>
  <c r="AA74" i="1"/>
  <c r="AA4" i="14" s="1"/>
  <c r="Z75" i="1"/>
  <c r="AA75" i="1"/>
  <c r="Z76" i="1"/>
  <c r="AA76" i="1"/>
  <c r="Z77" i="1"/>
  <c r="AA77" i="1"/>
  <c r="Z78" i="1"/>
  <c r="AA78" i="1"/>
  <c r="Z79" i="1"/>
  <c r="AA79" i="1"/>
  <c r="Z80" i="1"/>
  <c r="AA80" i="1"/>
  <c r="Z81" i="1"/>
  <c r="AA81" i="1"/>
  <c r="Z82" i="1"/>
  <c r="AA82" i="1"/>
  <c r="Z83" i="1"/>
  <c r="AA83" i="1"/>
  <c r="Z84" i="1"/>
  <c r="AA84" i="1"/>
  <c r="Z85" i="1"/>
  <c r="AA85" i="1"/>
  <c r="Z86" i="1"/>
  <c r="AA86" i="1"/>
  <c r="Z87" i="1"/>
  <c r="AA87" i="1"/>
  <c r="Z88" i="1"/>
  <c r="AA88" i="1"/>
  <c r="Z89" i="1"/>
  <c r="AA89" i="1"/>
  <c r="Z90" i="1"/>
  <c r="AA90" i="1"/>
  <c r="X74" i="1"/>
  <c r="X4" i="14" s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W69" i="1"/>
  <c r="W74" i="1"/>
  <c r="W4" i="14" s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B340" i="6" l="1"/>
  <c r="C340" i="6" s="1"/>
  <c r="B335" i="6"/>
  <c r="C335" i="6" s="1"/>
  <c r="B331" i="6"/>
  <c r="C331" i="6" s="1"/>
  <c r="B326" i="6"/>
  <c r="C326" i="6" s="1"/>
  <c r="B322" i="6"/>
  <c r="C322" i="6" s="1"/>
  <c r="B317" i="6"/>
  <c r="C317" i="6" s="1"/>
  <c r="B313" i="6"/>
  <c r="C313" i="6" s="1"/>
  <c r="B308" i="6"/>
  <c r="C308" i="6" s="1"/>
  <c r="B304" i="6"/>
  <c r="C304" i="6" s="1"/>
  <c r="B299" i="6"/>
  <c r="C299" i="6" s="1"/>
  <c r="B295" i="6"/>
  <c r="C295" i="6" s="1"/>
  <c r="B290" i="6"/>
  <c r="C290" i="6" s="1"/>
  <c r="B286" i="6"/>
  <c r="C286" i="6" s="1"/>
  <c r="B281" i="6"/>
  <c r="C281" i="6" s="1"/>
  <c r="B277" i="6"/>
  <c r="C277" i="6" s="1"/>
  <c r="B272" i="6"/>
  <c r="C272" i="6" s="1"/>
  <c r="B268" i="6"/>
  <c r="C268" i="6" s="1"/>
  <c r="B263" i="6"/>
  <c r="C263" i="6" s="1"/>
  <c r="B259" i="6"/>
  <c r="C259" i="6" s="1"/>
  <c r="B254" i="6"/>
  <c r="C254" i="6" s="1"/>
  <c r="B250" i="6"/>
  <c r="C250" i="6" s="1"/>
  <c r="B245" i="6"/>
  <c r="C245" i="6" s="1"/>
  <c r="B241" i="6"/>
  <c r="C241" i="6" s="1"/>
  <c r="B236" i="6"/>
  <c r="C236" i="6" s="1"/>
  <c r="B232" i="6"/>
  <c r="C232" i="6" s="1"/>
  <c r="B227" i="6"/>
  <c r="C227" i="6" s="1"/>
  <c r="B223" i="6"/>
  <c r="C223" i="6" s="1"/>
  <c r="B218" i="6"/>
  <c r="C218" i="6" s="1"/>
  <c r="B214" i="6"/>
  <c r="C214" i="6" s="1"/>
  <c r="B205" i="6"/>
  <c r="C205" i="6" s="1"/>
  <c r="B209" i="6"/>
  <c r="C209" i="6" s="1"/>
  <c r="B200" i="6"/>
  <c r="C200" i="6" s="1"/>
  <c r="B196" i="6"/>
  <c r="C196" i="6" s="1"/>
  <c r="B191" i="6"/>
  <c r="C191" i="6" s="1"/>
  <c r="B187" i="6"/>
  <c r="C187" i="6" s="1"/>
  <c r="B182" i="6"/>
  <c r="C182" i="6" s="1"/>
  <c r="B178" i="6"/>
  <c r="C178" i="6" s="1"/>
  <c r="B173" i="6"/>
  <c r="C173" i="6" s="1"/>
  <c r="B169" i="6"/>
  <c r="C169" i="6" s="1"/>
  <c r="B165" i="6"/>
  <c r="C165" i="6" s="1"/>
  <c r="B161" i="6"/>
  <c r="C161" i="6" s="1"/>
  <c r="B157" i="6"/>
  <c r="C157" i="6" s="1"/>
  <c r="B153" i="6"/>
  <c r="C153" i="6" s="1"/>
  <c r="B149" i="6"/>
  <c r="C149" i="6" s="1"/>
  <c r="B145" i="6"/>
  <c r="C145" i="6" s="1"/>
  <c r="B140" i="6"/>
  <c r="C140" i="6" s="1"/>
  <c r="B136" i="6"/>
  <c r="C136" i="6" s="1"/>
  <c r="B131" i="6"/>
  <c r="C131" i="6" s="1"/>
  <c r="B127" i="6"/>
  <c r="C127" i="6" s="1"/>
  <c r="B123" i="6"/>
  <c r="C123" i="6" s="1"/>
  <c r="B119" i="6"/>
  <c r="C119" i="6" s="1"/>
  <c r="B115" i="6"/>
  <c r="C115" i="6" s="1"/>
  <c r="B111" i="6"/>
  <c r="C111" i="6" s="1"/>
  <c r="B107" i="6"/>
  <c r="C107" i="6" s="1"/>
  <c r="B103" i="6"/>
  <c r="C103" i="6" s="1"/>
  <c r="B99" i="6"/>
  <c r="C99" i="6" s="1"/>
  <c r="B95" i="6"/>
  <c r="C95" i="6" s="1"/>
  <c r="B91" i="6"/>
  <c r="C91" i="6" s="1"/>
  <c r="B87" i="6"/>
  <c r="C87" i="6" s="1"/>
  <c r="B71" i="6"/>
  <c r="C71" i="6" s="1"/>
  <c r="B67" i="6"/>
  <c r="C67" i="6" s="1"/>
  <c r="B63" i="6"/>
  <c r="C63" i="6" s="1"/>
  <c r="B59" i="6"/>
  <c r="C59" i="6" s="1"/>
  <c r="B55" i="6"/>
  <c r="C55" i="6" s="1"/>
  <c r="B51" i="6"/>
  <c r="C51" i="6" s="1"/>
  <c r="B47" i="6"/>
  <c r="C47" i="6" s="1"/>
  <c r="B43" i="6"/>
  <c r="C43" i="6" s="1"/>
  <c r="B39" i="6"/>
  <c r="C39" i="6" s="1"/>
  <c r="B35" i="6"/>
  <c r="C35" i="6" s="1"/>
  <c r="B31" i="6"/>
  <c r="C31" i="6" s="1"/>
  <c r="B27" i="6"/>
  <c r="A357" i="6"/>
  <c r="A347" i="6"/>
  <c r="A338" i="6"/>
  <c r="A329" i="6"/>
  <c r="A320" i="6"/>
  <c r="A311" i="6"/>
  <c r="A302" i="6"/>
  <c r="A293" i="6"/>
  <c r="A284" i="6"/>
  <c r="A275" i="6"/>
  <c r="A266" i="6"/>
  <c r="A257" i="6"/>
  <c r="A248" i="6"/>
  <c r="A239" i="6"/>
  <c r="A230" i="6"/>
  <c r="A221" i="6"/>
  <c r="A212" i="6"/>
  <c r="A203" i="6"/>
  <c r="A194" i="6"/>
  <c r="A185" i="6"/>
  <c r="A176" i="6"/>
  <c r="A167" i="6"/>
  <c r="A159" i="6"/>
  <c r="A151" i="6"/>
  <c r="A143" i="6"/>
  <c r="A134" i="6"/>
  <c r="A125" i="6"/>
  <c r="A117" i="6"/>
  <c r="A109" i="6"/>
  <c r="A101" i="6"/>
  <c r="A93" i="6"/>
  <c r="A85" i="6"/>
  <c r="A77" i="6"/>
  <c r="A69" i="6"/>
  <c r="A61" i="6"/>
  <c r="A53" i="6"/>
  <c r="A45" i="6"/>
  <c r="A37" i="6"/>
  <c r="A29" i="6"/>
  <c r="A21" i="6"/>
  <c r="B23" i="6"/>
  <c r="N363" i="6"/>
  <c r="C363" i="6"/>
  <c r="N359" i="6"/>
  <c r="C359" i="6"/>
  <c r="N353" i="6"/>
  <c r="C353" i="6"/>
  <c r="N349" i="6"/>
  <c r="C349" i="6"/>
  <c r="N344" i="6"/>
  <c r="C344" i="6"/>
  <c r="N340" i="6"/>
  <c r="N335" i="6"/>
  <c r="N331" i="6"/>
  <c r="N326" i="6"/>
  <c r="N322" i="6"/>
  <c r="N317" i="6"/>
  <c r="N313" i="6"/>
  <c r="N308" i="6"/>
  <c r="N304" i="6"/>
  <c r="N299" i="6"/>
  <c r="N295" i="6"/>
  <c r="N290" i="6"/>
  <c r="N286" i="6"/>
  <c r="N281" i="6"/>
  <c r="N277" i="6"/>
  <c r="N272" i="6"/>
  <c r="N268" i="6"/>
  <c r="N263" i="6"/>
  <c r="N259" i="6"/>
  <c r="N254" i="6"/>
  <c r="N250" i="6"/>
  <c r="N245" i="6"/>
  <c r="N241" i="6"/>
  <c r="N236" i="6"/>
  <c r="N232" i="6"/>
  <c r="N227" i="6"/>
  <c r="N223" i="6"/>
  <c r="N218" i="6"/>
  <c r="N214" i="6"/>
  <c r="N209" i="6"/>
  <c r="N205" i="6"/>
  <c r="N200" i="6"/>
  <c r="N196" i="6"/>
  <c r="N191" i="6"/>
  <c r="N187" i="6"/>
  <c r="N182" i="6"/>
  <c r="N178" i="6"/>
  <c r="N173" i="6"/>
  <c r="N169" i="6"/>
  <c r="N165" i="6"/>
  <c r="N161" i="6"/>
  <c r="N157" i="6"/>
  <c r="N153" i="6"/>
  <c r="N149" i="6"/>
  <c r="N145" i="6"/>
  <c r="N140" i="6"/>
  <c r="N136" i="6"/>
  <c r="N131" i="6"/>
  <c r="N127" i="6"/>
  <c r="N123" i="6"/>
  <c r="N119" i="6"/>
  <c r="N115" i="6"/>
  <c r="N111" i="6"/>
  <c r="N107" i="6"/>
  <c r="N103" i="6"/>
  <c r="N99" i="6"/>
  <c r="N95" i="6"/>
  <c r="N91" i="6"/>
  <c r="N87" i="6"/>
  <c r="N83" i="6"/>
  <c r="C83" i="6"/>
  <c r="N79" i="6"/>
  <c r="C79" i="6"/>
  <c r="N75" i="6"/>
  <c r="C75" i="6"/>
  <c r="N71" i="6"/>
  <c r="N67" i="6"/>
  <c r="N63" i="6"/>
  <c r="N59" i="6"/>
  <c r="N55" i="6"/>
  <c r="N51" i="6"/>
  <c r="N47" i="6"/>
  <c r="N43" i="6"/>
  <c r="N39" i="6"/>
  <c r="N35" i="6"/>
  <c r="N31" i="6"/>
  <c r="H80" i="5"/>
  <c r="H76" i="5"/>
  <c r="H72" i="5"/>
  <c r="H68" i="5"/>
  <c r="H64" i="5"/>
  <c r="H60" i="5"/>
  <c r="H56" i="5"/>
  <c r="H52" i="5"/>
  <c r="H48" i="5"/>
  <c r="H44" i="5"/>
  <c r="H40" i="5"/>
  <c r="H36" i="5"/>
  <c r="H32" i="5"/>
  <c r="H28" i="5"/>
  <c r="H24" i="5"/>
  <c r="H20" i="5"/>
  <c r="H16" i="5"/>
  <c r="H12" i="5"/>
  <c r="H8" i="5"/>
  <c r="H4" i="5"/>
  <c r="C80" i="5"/>
  <c r="C76" i="5"/>
  <c r="C72" i="5"/>
  <c r="C68" i="5"/>
  <c r="C64" i="5"/>
  <c r="C60" i="5"/>
  <c r="C56" i="5"/>
  <c r="C52" i="5"/>
  <c r="C48" i="5"/>
  <c r="C44" i="5"/>
  <c r="C40" i="5"/>
  <c r="C36" i="5"/>
  <c r="C32" i="5"/>
  <c r="C28" i="5"/>
  <c r="C24" i="5"/>
  <c r="C20" i="5"/>
  <c r="C16" i="5"/>
  <c r="C12" i="5"/>
  <c r="C8" i="5"/>
  <c r="C4" i="5"/>
  <c r="H79" i="5"/>
  <c r="H78" i="5" s="1"/>
  <c r="H75" i="5"/>
  <c r="H71" i="5"/>
  <c r="H70" i="5" s="1"/>
  <c r="F78" i="5"/>
  <c r="F74" i="5"/>
  <c r="F70" i="5"/>
  <c r="F66" i="5"/>
  <c r="F62" i="5"/>
  <c r="F58" i="5"/>
  <c r="F54" i="5"/>
  <c r="F50" i="5"/>
  <c r="F46" i="5"/>
  <c r="F42" i="5"/>
  <c r="F38" i="5"/>
  <c r="F34" i="5"/>
  <c r="F30" i="5"/>
  <c r="F26" i="5"/>
  <c r="F22" i="5"/>
  <c r="F18" i="5"/>
  <c r="F14" i="5"/>
  <c r="F10" i="5"/>
  <c r="F6" i="5"/>
  <c r="F2" i="5"/>
  <c r="A78" i="5"/>
  <c r="A74" i="5"/>
  <c r="A70" i="5"/>
  <c r="A66" i="5"/>
  <c r="A62" i="5"/>
  <c r="A58" i="5"/>
  <c r="A54" i="5"/>
  <c r="A50" i="5"/>
  <c r="A46" i="5"/>
  <c r="A42" i="5"/>
  <c r="A38" i="5"/>
  <c r="A34" i="5"/>
  <c r="A30" i="5"/>
  <c r="A26" i="5"/>
  <c r="A22" i="5"/>
  <c r="A18" i="5"/>
  <c r="A14" i="5"/>
  <c r="A10" i="5"/>
  <c r="A6" i="5"/>
  <c r="A2" i="5"/>
  <c r="K20" i="3"/>
  <c r="K18" i="3" s="1"/>
  <c r="K13" i="3"/>
  <c r="G20" i="3"/>
  <c r="G18" i="3" s="1"/>
  <c r="G13" i="3"/>
  <c r="G69" i="1"/>
  <c r="H69" i="1" s="1"/>
  <c r="C172" i="3"/>
  <c r="C167" i="3"/>
  <c r="C160" i="3"/>
  <c r="C150" i="3"/>
  <c r="C145" i="3"/>
  <c r="C138" i="3"/>
  <c r="C128" i="3"/>
  <c r="C123" i="3"/>
  <c r="C116" i="3"/>
  <c r="C106" i="3"/>
  <c r="C101" i="3"/>
  <c r="C94" i="3"/>
  <c r="C84" i="3"/>
  <c r="C79" i="3"/>
  <c r="C72" i="3"/>
  <c r="C62" i="3"/>
  <c r="C57" i="3"/>
  <c r="C50" i="3"/>
  <c r="C40" i="3"/>
  <c r="C35" i="3"/>
  <c r="C28" i="3"/>
  <c r="D84" i="1"/>
  <c r="G84" i="1" s="1"/>
  <c r="H84" i="1" s="1"/>
  <c r="D85" i="1"/>
  <c r="G85" i="1" s="1"/>
  <c r="H85" i="1" s="1"/>
  <c r="D86" i="1"/>
  <c r="G86" i="1" s="1"/>
  <c r="H86" i="1" s="1"/>
  <c r="D87" i="1"/>
  <c r="G87" i="1" s="1"/>
  <c r="H87" i="1" s="1"/>
  <c r="H7" i="5"/>
  <c r="D88" i="1"/>
  <c r="G88" i="1" s="1"/>
  <c r="H88" i="1" s="1"/>
  <c r="D89" i="1"/>
  <c r="G89" i="1" s="1"/>
  <c r="H89" i="1" s="1"/>
  <c r="D90" i="1"/>
  <c r="G90" i="1" s="1"/>
  <c r="H90" i="1" s="1"/>
  <c r="D83" i="1"/>
  <c r="G83" i="1" s="1"/>
  <c r="H83" i="1" s="1"/>
  <c r="D82" i="1"/>
  <c r="G82" i="1" s="1"/>
  <c r="H82" i="1" s="1"/>
  <c r="D81" i="1"/>
  <c r="G81" i="1" s="1"/>
  <c r="H81" i="1" s="1"/>
  <c r="D80" i="1"/>
  <c r="G80" i="1" s="1"/>
  <c r="H80" i="1" s="1"/>
  <c r="D75" i="1"/>
  <c r="G75" i="1" s="1"/>
  <c r="H75" i="1" s="1"/>
  <c r="D76" i="1"/>
  <c r="G76" i="1" s="1"/>
  <c r="H76" i="1" s="1"/>
  <c r="D77" i="1"/>
  <c r="G77" i="1" s="1"/>
  <c r="H77" i="1" s="1"/>
  <c r="D78" i="1"/>
  <c r="G78" i="1" s="1"/>
  <c r="H78" i="1" s="1"/>
  <c r="D79" i="1"/>
  <c r="G79" i="1" s="1"/>
  <c r="H79" i="1" s="1"/>
  <c r="D74" i="1"/>
  <c r="G74" i="1" l="1"/>
  <c r="D4" i="14"/>
  <c r="H6" i="5"/>
  <c r="C27" i="5"/>
  <c r="S76" i="1"/>
  <c r="U76" i="1"/>
  <c r="P76" i="1"/>
  <c r="R76" i="1"/>
  <c r="Q76" i="1"/>
  <c r="S78" i="1"/>
  <c r="P78" i="1"/>
  <c r="U78" i="1"/>
  <c r="R78" i="1"/>
  <c r="Q78" i="1"/>
  <c r="C7" i="5"/>
  <c r="U69" i="1"/>
  <c r="S69" i="1"/>
  <c r="P69" i="1"/>
  <c r="Q69" i="1"/>
  <c r="R69" i="1"/>
  <c r="S86" i="1"/>
  <c r="U86" i="1"/>
  <c r="P86" i="1"/>
  <c r="R86" i="1"/>
  <c r="Q86" i="1"/>
  <c r="C43" i="5"/>
  <c r="C42" i="5" s="1"/>
  <c r="S80" i="1"/>
  <c r="U80" i="1"/>
  <c r="P80" i="1"/>
  <c r="R80" i="1"/>
  <c r="Q80" i="1"/>
  <c r="H51" i="5"/>
  <c r="H50" i="5" s="1"/>
  <c r="H35" i="5"/>
  <c r="H34" i="5" s="1"/>
  <c r="H19" i="5"/>
  <c r="H18" i="5" s="1"/>
  <c r="C67" i="5"/>
  <c r="C66" i="5" s="1"/>
  <c r="S84" i="1"/>
  <c r="P84" i="1"/>
  <c r="U84" i="1"/>
  <c r="R84" i="1"/>
  <c r="Q84" i="1"/>
  <c r="S77" i="1"/>
  <c r="P77" i="1"/>
  <c r="U77" i="1"/>
  <c r="Q77" i="1"/>
  <c r="R77" i="1"/>
  <c r="S81" i="1"/>
  <c r="P81" i="1"/>
  <c r="U81" i="1"/>
  <c r="Q81" i="1"/>
  <c r="R81" i="1"/>
  <c r="H47" i="5"/>
  <c r="H46" i="5" s="1"/>
  <c r="S90" i="1"/>
  <c r="P90" i="1"/>
  <c r="U90" i="1"/>
  <c r="Q90" i="1"/>
  <c r="R90" i="1"/>
  <c r="H15" i="5"/>
  <c r="H14" i="5" s="1"/>
  <c r="S87" i="1"/>
  <c r="P87" i="1"/>
  <c r="U87" i="1"/>
  <c r="Q87" i="1"/>
  <c r="R87" i="1"/>
  <c r="S82" i="1"/>
  <c r="P82" i="1"/>
  <c r="R82" i="1"/>
  <c r="Q82" i="1"/>
  <c r="U82" i="1"/>
  <c r="H27" i="5"/>
  <c r="H26" i="5" s="1"/>
  <c r="S89" i="1"/>
  <c r="U89" i="1"/>
  <c r="P89" i="1"/>
  <c r="R89" i="1"/>
  <c r="Q89" i="1"/>
  <c r="C39" i="5"/>
  <c r="C38" i="5" s="1"/>
  <c r="U79" i="1"/>
  <c r="S79" i="1"/>
  <c r="P79" i="1"/>
  <c r="Q79" i="1"/>
  <c r="R79" i="1"/>
  <c r="C23" i="5"/>
  <c r="U75" i="1"/>
  <c r="S75" i="1"/>
  <c r="P75" i="1"/>
  <c r="Q75" i="1"/>
  <c r="R75" i="1"/>
  <c r="C55" i="5"/>
  <c r="C54" i="5" s="1"/>
  <c r="U83" i="1"/>
  <c r="S83" i="1"/>
  <c r="P83" i="1"/>
  <c r="Q83" i="1"/>
  <c r="R83" i="1"/>
  <c r="H55" i="5"/>
  <c r="H54" i="5" s="1"/>
  <c r="H23" i="5"/>
  <c r="H22" i="5" s="1"/>
  <c r="U88" i="1"/>
  <c r="S88" i="1"/>
  <c r="P88" i="1"/>
  <c r="Q88" i="1"/>
  <c r="R88" i="1"/>
  <c r="C71" i="5"/>
  <c r="C70" i="5" s="1"/>
  <c r="U85" i="1"/>
  <c r="S85" i="1"/>
  <c r="P85" i="1"/>
  <c r="Q85" i="1"/>
  <c r="R85" i="1"/>
  <c r="C11" i="5"/>
  <c r="C47" i="5"/>
  <c r="C46" i="5" s="1"/>
  <c r="C63" i="5"/>
  <c r="C62" i="5" s="1"/>
  <c r="C51" i="5"/>
  <c r="C50" i="5" s="1"/>
  <c r="H43" i="5"/>
  <c r="H42" i="5" s="1"/>
  <c r="H11" i="5"/>
  <c r="H10" i="5" s="1"/>
  <c r="C59" i="5"/>
  <c r="C58" i="5" s="1"/>
  <c r="H39" i="5"/>
  <c r="H38" i="5" s="1"/>
  <c r="C35" i="5"/>
  <c r="H67" i="5"/>
  <c r="H66" i="5" s="1"/>
  <c r="H3" i="5"/>
  <c r="H2" i="5" s="1"/>
  <c r="C31" i="5"/>
  <c r="H63" i="5"/>
  <c r="H62" i="5" s="1"/>
  <c r="H31" i="5"/>
  <c r="H30" i="5" s="1"/>
  <c r="C79" i="5"/>
  <c r="C78" i="5" s="1"/>
  <c r="C3" i="5"/>
  <c r="C2" i="5" s="1"/>
  <c r="H59" i="5"/>
  <c r="H58" i="5" s="1"/>
  <c r="C75" i="5"/>
  <c r="C74" i="5" s="1"/>
  <c r="C15" i="5"/>
  <c r="H74" i="5"/>
  <c r="F16" i="11"/>
  <c r="D16" i="11"/>
  <c r="E16" i="11"/>
  <c r="G15" i="11"/>
  <c r="F15" i="11"/>
  <c r="E15" i="11"/>
  <c r="D15" i="11"/>
  <c r="F14" i="11"/>
  <c r="E14" i="11"/>
  <c r="D14" i="11"/>
  <c r="G13" i="11"/>
  <c r="F13" i="11"/>
  <c r="E13" i="11"/>
  <c r="D13" i="11"/>
  <c r="G12" i="11"/>
  <c r="F12" i="11"/>
  <c r="E12" i="11"/>
  <c r="D12" i="11"/>
  <c r="D11" i="11"/>
  <c r="G11" i="11"/>
  <c r="F11" i="11"/>
  <c r="E11" i="11"/>
  <c r="H74" i="1" l="1"/>
  <c r="G4" i="14"/>
  <c r="E69" i="1"/>
  <c r="I40" i="10"/>
  <c r="C40" i="10" s="1"/>
  <c r="D40" i="10"/>
  <c r="I39" i="10"/>
  <c r="C39" i="10" s="1"/>
  <c r="D39" i="10"/>
  <c r="I38" i="10"/>
  <c r="C38" i="10" s="1"/>
  <c r="D38" i="10"/>
  <c r="I37" i="10"/>
  <c r="C37" i="10" s="1"/>
  <c r="D37" i="10"/>
  <c r="I36" i="10"/>
  <c r="C36" i="10" s="1"/>
  <c r="D36" i="10"/>
  <c r="I35" i="10"/>
  <c r="C35" i="10" s="1"/>
  <c r="D35" i="10"/>
  <c r="I34" i="10"/>
  <c r="C34" i="10" s="1"/>
  <c r="D34" i="10"/>
  <c r="I33" i="10"/>
  <c r="C33" i="10" s="1"/>
  <c r="D33" i="10"/>
  <c r="I32" i="10"/>
  <c r="C32" i="10" s="1"/>
  <c r="D32" i="10"/>
  <c r="I30" i="10"/>
  <c r="C30" i="10" s="1"/>
  <c r="D30" i="10"/>
  <c r="I29" i="10"/>
  <c r="C29" i="10" s="1"/>
  <c r="D29" i="10"/>
  <c r="I28" i="10"/>
  <c r="C28" i="10" s="1"/>
  <c r="D28" i="10"/>
  <c r="I27" i="10"/>
  <c r="C27" i="10" s="1"/>
  <c r="D27" i="10"/>
  <c r="I26" i="10"/>
  <c r="C26" i="10" s="1"/>
  <c r="D26" i="10"/>
  <c r="I25" i="10"/>
  <c r="C25" i="10" s="1"/>
  <c r="D25" i="10"/>
  <c r="I24" i="10"/>
  <c r="C24" i="10" s="1"/>
  <c r="D24" i="10"/>
  <c r="I23" i="10"/>
  <c r="C23" i="10" s="1"/>
  <c r="D23" i="10"/>
  <c r="I22" i="10"/>
  <c r="C22" i="10" s="1"/>
  <c r="D22" i="10"/>
  <c r="I20" i="10"/>
  <c r="C20" i="10" s="1"/>
  <c r="D20" i="10"/>
  <c r="I19" i="10"/>
  <c r="C19" i="10" s="1"/>
  <c r="D19" i="10"/>
  <c r="I18" i="10"/>
  <c r="C18" i="10" s="1"/>
  <c r="D18" i="10"/>
  <c r="I17" i="10"/>
  <c r="C17" i="10" s="1"/>
  <c r="D17" i="10"/>
  <c r="I16" i="10"/>
  <c r="D16" i="10"/>
  <c r="C16" i="10"/>
  <c r="I15" i="10"/>
  <c r="D15" i="10"/>
  <c r="C15" i="10"/>
  <c r="I14" i="10"/>
  <c r="C14" i="10" s="1"/>
  <c r="D14" i="10"/>
  <c r="I13" i="10"/>
  <c r="C13" i="10" s="1"/>
  <c r="D13" i="10"/>
  <c r="I12" i="10"/>
  <c r="C12" i="10" s="1"/>
  <c r="D12" i="10"/>
  <c r="I10" i="10"/>
  <c r="C10" i="10" s="1"/>
  <c r="D10" i="10"/>
  <c r="I9" i="10"/>
  <c r="C9" i="10" s="1"/>
  <c r="D9" i="10"/>
  <c r="I8" i="10"/>
  <c r="C8" i="10" s="1"/>
  <c r="D8" i="10"/>
  <c r="I7" i="10"/>
  <c r="C7" i="10" s="1"/>
  <c r="D7" i="10"/>
  <c r="I6" i="10"/>
  <c r="C6" i="10" s="1"/>
  <c r="D6" i="10"/>
  <c r="I5" i="10"/>
  <c r="C5" i="10" s="1"/>
  <c r="D5" i="10"/>
  <c r="I4" i="10"/>
  <c r="C4" i="10" s="1"/>
  <c r="D4" i="10"/>
  <c r="I3" i="10"/>
  <c r="C3" i="10" s="1"/>
  <c r="D3" i="10"/>
  <c r="I2" i="10"/>
  <c r="C2" i="10" s="1"/>
  <c r="D2" i="10"/>
  <c r="H4" i="14" l="1"/>
  <c r="S74" i="1"/>
  <c r="S4" i="14" s="1"/>
  <c r="U74" i="1"/>
  <c r="U4" i="14" s="1"/>
  <c r="C19" i="5"/>
  <c r="P74" i="1"/>
  <c r="P4" i="14" s="1"/>
  <c r="R74" i="1"/>
  <c r="R4" i="14" s="1"/>
  <c r="Q74" i="1"/>
  <c r="Q4" i="14" s="1"/>
  <c r="BN69" i="1"/>
  <c r="BM69" i="1"/>
  <c r="BL69" i="1"/>
  <c r="BK69" i="1"/>
  <c r="GG69" i="1"/>
  <c r="FD69" i="1"/>
  <c r="DW69" i="1"/>
  <c r="CQ69" i="1"/>
  <c r="DV69" i="1"/>
  <c r="GF69" i="1"/>
  <c r="FC69" i="1"/>
  <c r="CP69" i="1"/>
  <c r="CS69" i="1"/>
  <c r="GI69" i="1"/>
  <c r="FB69" i="1"/>
  <c r="DY69" i="1"/>
  <c r="GH69" i="1"/>
  <c r="FA69" i="1"/>
  <c r="DX69" i="1"/>
  <c r="CR69" i="1"/>
  <c r="M69" i="1"/>
  <c r="J69" i="1"/>
  <c r="L69" i="1"/>
  <c r="K69" i="1"/>
  <c r="X69" i="1"/>
  <c r="AA69" i="1"/>
  <c r="N27" i="6"/>
  <c r="N23" i="6"/>
  <c r="C27" i="6"/>
  <c r="C23" i="6"/>
  <c r="Q3" i="6" l="1"/>
  <c r="Q4" i="6" s="1"/>
  <c r="N3" i="6"/>
  <c r="N4" i="6" s="1"/>
  <c r="K3" i="6"/>
  <c r="K4" i="6" s="1"/>
  <c r="H3" i="6"/>
  <c r="H4" i="6" s="1"/>
  <c r="D3" i="6"/>
  <c r="D7" i="6" s="1"/>
  <c r="H7" i="6" l="1"/>
  <c r="D4" i="6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3" i="4"/>
  <c r="C34" i="5"/>
  <c r="C30" i="5"/>
  <c r="C26" i="5"/>
  <c r="C22" i="5"/>
  <c r="C18" i="5"/>
  <c r="C14" i="5"/>
  <c r="C10" i="5"/>
  <c r="C6" i="5"/>
  <c r="C13" i="3" l="1"/>
  <c r="C6" i="3" l="1"/>
  <c r="C7" i="3" s="1"/>
  <c r="D2" i="2" l="1"/>
  <c r="J33" i="1" l="1"/>
  <c r="K33" i="1"/>
  <c r="L33" i="1"/>
  <c r="M33" i="1"/>
  <c r="J34" i="1"/>
  <c r="K34" i="1"/>
  <c r="L34" i="1"/>
  <c r="M34" i="1"/>
  <c r="J35" i="1"/>
  <c r="K35" i="1"/>
  <c r="L35" i="1"/>
  <c r="M35" i="1"/>
  <c r="J36" i="1"/>
  <c r="K36" i="1"/>
  <c r="L36" i="1"/>
  <c r="M36" i="1"/>
  <c r="J37" i="1"/>
  <c r="K37" i="1"/>
  <c r="L37" i="1"/>
  <c r="M37" i="1"/>
  <c r="J38" i="1"/>
  <c r="K38" i="1"/>
  <c r="L38" i="1"/>
  <c r="M38" i="1"/>
  <c r="J39" i="1"/>
  <c r="K39" i="1"/>
  <c r="L39" i="1"/>
  <c r="M39" i="1"/>
  <c r="J40" i="1"/>
  <c r="K40" i="1"/>
  <c r="L40" i="1"/>
  <c r="M40" i="1"/>
  <c r="M32" i="1"/>
  <c r="L32" i="1"/>
  <c r="K32" i="1"/>
  <c r="J32" i="1"/>
  <c r="J20" i="1"/>
  <c r="K20" i="1"/>
  <c r="L20" i="1"/>
  <c r="M20" i="1"/>
  <c r="J21" i="1"/>
  <c r="K21" i="1"/>
  <c r="L21" i="1"/>
  <c r="M21" i="1"/>
  <c r="J22" i="1"/>
  <c r="K22" i="1"/>
  <c r="L22" i="1"/>
  <c r="M22" i="1"/>
  <c r="J23" i="1"/>
  <c r="K23" i="1"/>
  <c r="L23" i="1"/>
  <c r="M23" i="1"/>
  <c r="J24" i="1"/>
  <c r="K24" i="1"/>
  <c r="L24" i="1"/>
  <c r="M24" i="1"/>
  <c r="J25" i="1"/>
  <c r="K25" i="1"/>
  <c r="L25" i="1"/>
  <c r="M25" i="1"/>
  <c r="J4" i="1"/>
  <c r="K4" i="1"/>
  <c r="L4" i="1"/>
  <c r="M4" i="1"/>
  <c r="J5" i="1"/>
  <c r="K5" i="1"/>
  <c r="L5" i="1"/>
  <c r="M5" i="1"/>
  <c r="J6" i="1"/>
  <c r="K6" i="1"/>
  <c r="L6" i="1"/>
  <c r="M6" i="1"/>
  <c r="J7" i="1"/>
  <c r="K7" i="1"/>
  <c r="L7" i="1"/>
  <c r="M7" i="1"/>
  <c r="M3" i="1"/>
  <c r="L3" i="1"/>
  <c r="K3" i="1"/>
  <c r="J3" i="1"/>
  <c r="M59" i="1"/>
  <c r="L59" i="1"/>
  <c r="K59" i="1"/>
  <c r="J59" i="1"/>
  <c r="M58" i="1"/>
  <c r="L58" i="1"/>
  <c r="K58" i="1"/>
  <c r="J58" i="1"/>
  <c r="M57" i="1"/>
  <c r="L57" i="1"/>
  <c r="K57" i="1"/>
  <c r="J57" i="1"/>
  <c r="M56" i="1"/>
  <c r="L56" i="1"/>
  <c r="K56" i="1"/>
  <c r="J56" i="1"/>
  <c r="M55" i="1"/>
  <c r="L55" i="1"/>
  <c r="K55" i="1"/>
  <c r="J55" i="1"/>
  <c r="M54" i="1"/>
  <c r="L54" i="1"/>
  <c r="K54" i="1"/>
  <c r="J54" i="1"/>
  <c r="M53" i="1"/>
  <c r="L53" i="1"/>
  <c r="K53" i="1"/>
  <c r="J53" i="1"/>
  <c r="M52" i="1"/>
  <c r="L52" i="1"/>
  <c r="K52" i="1"/>
  <c r="J52" i="1"/>
  <c r="M51" i="1"/>
  <c r="L51" i="1"/>
  <c r="K51" i="1"/>
  <c r="J51" i="1"/>
  <c r="M9" i="1"/>
  <c r="M10" i="1"/>
  <c r="M11" i="1"/>
  <c r="M12" i="1"/>
  <c r="M13" i="1"/>
  <c r="M14" i="1"/>
  <c r="M15" i="1"/>
  <c r="M16" i="1"/>
  <c r="M17" i="1"/>
  <c r="M18" i="1"/>
  <c r="M19" i="1"/>
  <c r="M8" i="1"/>
  <c r="L9" i="1"/>
  <c r="L10" i="1"/>
  <c r="L11" i="1"/>
  <c r="L12" i="1"/>
  <c r="L13" i="1"/>
  <c r="L14" i="1"/>
  <c r="L15" i="1"/>
  <c r="L16" i="1"/>
  <c r="L17" i="1"/>
  <c r="L18" i="1"/>
  <c r="L19" i="1"/>
  <c r="L8" i="1"/>
  <c r="K9" i="1"/>
  <c r="K10" i="1"/>
  <c r="K11" i="1"/>
  <c r="K12" i="1"/>
  <c r="K13" i="1"/>
  <c r="K14" i="1"/>
  <c r="K15" i="1"/>
  <c r="K16" i="1"/>
  <c r="K17" i="1"/>
  <c r="K18" i="1"/>
  <c r="K19" i="1"/>
  <c r="K8" i="1"/>
  <c r="J9" i="1"/>
  <c r="J10" i="1"/>
  <c r="J11" i="1"/>
  <c r="J12" i="1"/>
  <c r="J13" i="1"/>
  <c r="J14" i="1"/>
  <c r="J15" i="1"/>
  <c r="J16" i="1"/>
  <c r="J17" i="1"/>
  <c r="J18" i="1"/>
  <c r="J19" i="1"/>
  <c r="J8" i="1"/>
  <c r="J61" i="1"/>
  <c r="K61" i="1"/>
  <c r="L61" i="1"/>
  <c r="M61" i="1"/>
  <c r="J62" i="1"/>
  <c r="K62" i="1"/>
  <c r="L62" i="1"/>
  <c r="M62" i="1"/>
  <c r="J63" i="1"/>
  <c r="K63" i="1"/>
  <c r="L63" i="1"/>
  <c r="M63" i="1"/>
</calcChain>
</file>

<file path=xl/comments1.xml><?xml version="1.0" encoding="utf-8"?>
<comments xmlns="http://schemas.openxmlformats.org/spreadsheetml/2006/main">
  <authors>
    <author>Callie Fouche</author>
  </authors>
  <commentList>
    <comment ref="B2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4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49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5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5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6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6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7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89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9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9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0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1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2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29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5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38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39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4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5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5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7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77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0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1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8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89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5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98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9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0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0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16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17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2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2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1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4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35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3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49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2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5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5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6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67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0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1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7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79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8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8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85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88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89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9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9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29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0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0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06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06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07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1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1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15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15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16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0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21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4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4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25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2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9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30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33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3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34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3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38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39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2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4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4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4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5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5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61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61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62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Callie Fouche</author>
  </authors>
  <commentList>
    <comment ref="W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C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D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F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J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L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M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N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O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Q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R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S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T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V67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W67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C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F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I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L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N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Q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S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V68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Callie Fouche</author>
  </authors>
  <commentList>
    <comment ref="W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X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Callie Fouche: HERO Susceptible—Any ordnance item containing EIDs proven by test or analysis to be adversely affected by EMR to the point that the safety and/or reliability of the system is in jeopardy when the system is employed in the EME delineated in MIL-STD-464.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2" authorId="0">
      <text>
        <r>
          <rPr>
            <b/>
            <sz val="9"/>
            <color indexed="81"/>
            <rFont val="Tahoma"/>
            <family val="2"/>
          </rPr>
          <t>Callie Fouche:HERO Unsafe—Any ordnance item containing EIDs not certified as HERO SAFE or HERO SUSCEPTIBLE as a result of a HERO analysis or test. Additionally, any ordnance item containing EIDs (including those previously certified as HERO SAFE or HERO SUSCEPTIBLE) that has its internal wiring exposed; when tests are being conducted on that item resulting in additional electrical connections to the item; when EIDs having exposed wire leads are present and handled or loaded in any but the tested condition; when the item is being assembled or disassembled; or when such ordnance items are damaged causing exposure of internal wiring or components or destroying engineered HERO protective devices.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Callie Fouche:EMAE-maximum allowable environment electric field strength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<sst xmlns="http://schemas.openxmlformats.org/spreadsheetml/2006/main" count="1565" uniqueCount="249">
  <si>
    <t>ID</t>
  </si>
  <si>
    <t>Model</t>
  </si>
  <si>
    <t>Modulation</t>
  </si>
  <si>
    <t>Antenna dimension</t>
  </si>
  <si>
    <t>Motorola MY 500</t>
  </si>
  <si>
    <t>Cell phone 900MHz</t>
  </si>
  <si>
    <t>Wifi (2.4GHz ISM)</t>
  </si>
  <si>
    <t>Note</t>
  </si>
  <si>
    <t>SureCross Gateway module (900MHz)</t>
  </si>
  <si>
    <t>SureCross Gateway module (2.4 GHz)</t>
  </si>
  <si>
    <t>Frequency (MHz)</t>
  </si>
  <si>
    <t>Power (Watt)</t>
  </si>
  <si>
    <t>Antenna gain (dBi)</t>
  </si>
  <si>
    <t xml:space="preserve">SureCross DX80 Gateway </t>
  </si>
  <si>
    <t>iX104C5 and iX104C6 PC Tabled</t>
  </si>
  <si>
    <t>Wireless LAN (802.11ac)</t>
  </si>
  <si>
    <t>4G LTE</t>
  </si>
  <si>
    <t>BlueTooth 4.0</t>
  </si>
  <si>
    <t>Motorola Handheld Multi-channel DP 3601 (VHF)</t>
  </si>
  <si>
    <t>Motorola Handheld Multi-channel DP 3601 (UHF1)</t>
  </si>
  <si>
    <t>Motorola Handheld Multi-channel DP 3601 (UHF2)</t>
  </si>
  <si>
    <t>Motorola Handheld S/O DP 3401 (VHF)</t>
  </si>
  <si>
    <t>Motorola Handheld Multi-channel DP 3401 (UHF1)</t>
  </si>
  <si>
    <t>Motorola Handheld Multi-channel DP 3401 (UHF2)</t>
  </si>
  <si>
    <t>Motorola vehicle  base station DM 3601 (VHF)</t>
  </si>
  <si>
    <t>Motorola vehicle  base station DM 3601 (UHF1)</t>
  </si>
  <si>
    <t>Motorola vehicle  base station DM 3601 (UHF2)</t>
  </si>
  <si>
    <t>Telkom LTE 2300MHz</t>
  </si>
  <si>
    <t>Distance (m) to required fieldstrength (V/m)</t>
  </si>
  <si>
    <t>With standard antenna . High gain antenna available. Re-check distance if high gain antenna is used</t>
  </si>
  <si>
    <t>Motorola CP040 (VHF)</t>
  </si>
  <si>
    <t>Motorola CP040 (UHF2)</t>
  </si>
  <si>
    <t>Motorola CP040 (UHF1)</t>
  </si>
  <si>
    <t>Motorola M930 (900MHz)</t>
  </si>
  <si>
    <t>Motorola M930 (1800MHz)</t>
  </si>
  <si>
    <t>Motorola server room DM 3600 (VHF)</t>
  </si>
  <si>
    <t>Motorola server room DM 3600 (UHF1)</t>
  </si>
  <si>
    <t>Motorola server room DM 3600 (UHF2)</t>
  </si>
  <si>
    <t>Motorola P020 (VHF)</t>
  </si>
  <si>
    <t>Motorola P020 (UHF1)</t>
  </si>
  <si>
    <t>Motorola P020 (UHF2)</t>
  </si>
  <si>
    <t>Motorola P040 (VHF)</t>
  </si>
  <si>
    <t>Motorola P040 (UHF1)</t>
  </si>
  <si>
    <t>Motorola P040 (UHF2)</t>
  </si>
  <si>
    <t>Motorola P 041 (VHF)</t>
  </si>
  <si>
    <t>Motorola P 041 (UHF1)</t>
  </si>
  <si>
    <t>Motorola P 041 (UHF2)</t>
  </si>
  <si>
    <t>Motorola P042 (VHF)</t>
  </si>
  <si>
    <t>Motorola P042 (UHF1)</t>
  </si>
  <si>
    <t>Motorola P042 (UHF2)</t>
  </si>
  <si>
    <t>Motorola CP140 (VHF)</t>
  </si>
  <si>
    <t>Motorola CP140 (UHF1)</t>
  </si>
  <si>
    <t>Motorola CP140 (UHF2)</t>
  </si>
  <si>
    <t>Motorola GP300 (VHF)</t>
  </si>
  <si>
    <t>Motorola GP300 (UHF2)</t>
  </si>
  <si>
    <t>Motorola GP300 (UHF1)</t>
  </si>
  <si>
    <t>Motorola GP600 (VHF)</t>
  </si>
  <si>
    <t>Motorola GP600 (UHF1)</t>
  </si>
  <si>
    <t>Motorola GP600 (UHF2)</t>
  </si>
  <si>
    <t>Motorola GP 110 (VHF)</t>
  </si>
  <si>
    <t>Motorola GP 110 (UHF1)</t>
  </si>
  <si>
    <t>Motorola GP 110 (UHF2)</t>
  </si>
  <si>
    <t>Motorola GP 344 (VHF)</t>
  </si>
  <si>
    <t>Motorola GP 344 (UHF1)</t>
  </si>
  <si>
    <t>Motorola GP 344 (UHF2)</t>
  </si>
  <si>
    <t>BlueTooth</t>
  </si>
  <si>
    <t xml:space="preserve">Cell Phone 1800MHz </t>
  </si>
  <si>
    <t xml:space="preserve">Cellphone 2100MHz </t>
  </si>
  <si>
    <t>Boresight gain</t>
  </si>
  <si>
    <t>NF clearnce distance</t>
  </si>
  <si>
    <t>Frequency (GHz)</t>
  </si>
  <si>
    <t>Reflections of metal structures</t>
  </si>
  <si>
    <t>Frequency</t>
  </si>
  <si>
    <t>MHz</t>
  </si>
  <si>
    <t>F=12&lt;F&lt;200</t>
  </si>
  <si>
    <t>0</t>
  </si>
  <si>
    <t>F&lt;k12</t>
  </si>
  <si>
    <t>F&gt;200</t>
  </si>
  <si>
    <t>Field strength</t>
  </si>
  <si>
    <t>V/m</t>
  </si>
  <si>
    <t>Modulation Factor</t>
  </si>
  <si>
    <t>EIRP</t>
  </si>
  <si>
    <t>Distance</t>
  </si>
  <si>
    <t>Watt</t>
  </si>
  <si>
    <t>cm</t>
  </si>
  <si>
    <t>GSM 850/900</t>
  </si>
  <si>
    <t>GSM 1800/1900</t>
  </si>
  <si>
    <t>Bluetooth Class 1</t>
  </si>
  <si>
    <t>UMTS Class 3</t>
  </si>
  <si>
    <t>Mobile Radio</t>
  </si>
  <si>
    <t>Mobile Phone Wi-Fi</t>
  </si>
  <si>
    <t>Mobile phone Bluetooth (Class 2)</t>
  </si>
  <si>
    <t>Laptop Wi-Fi</t>
  </si>
  <si>
    <t>NF Calc 2V/m</t>
  </si>
  <si>
    <t>NF/FF</t>
  </si>
  <si>
    <t>m</t>
  </si>
  <si>
    <t>Wavelength</t>
  </si>
  <si>
    <t>3xWavelength</t>
  </si>
  <si>
    <t>NASA</t>
  </si>
  <si>
    <t>Largest antenna dimension</t>
  </si>
  <si>
    <t>nF/FF</t>
  </si>
  <si>
    <t>E</t>
  </si>
  <si>
    <t>Maximum allowable Environment for HERO UNSAFE Ordinance</t>
  </si>
  <si>
    <r>
      <t>E</t>
    </r>
    <r>
      <rPr>
        <vertAlign val="subscript"/>
        <sz val="11"/>
        <color theme="1"/>
        <rFont val="Calibri"/>
        <family val="2"/>
        <scheme val="minor"/>
      </rPr>
      <t>MAE</t>
    </r>
    <r>
      <rPr>
        <sz val="11"/>
        <color theme="1"/>
        <rFont val="Calibri"/>
        <family val="2"/>
        <scheme val="minor"/>
      </rPr>
      <t xml:space="preserve"> (V/m-rms)</t>
    </r>
  </si>
  <si>
    <t>Maximum allowable Environment for HERO SUSCEPTIBLE Ordinance</t>
  </si>
  <si>
    <t>Safe Seperation Distance for HERO UNSAFE Ordinance</t>
  </si>
  <si>
    <t>Transmitter Power</t>
  </si>
  <si>
    <t>Transmit antenna Gain</t>
  </si>
  <si>
    <t>SSD (m)</t>
  </si>
  <si>
    <t>Safe Seperation Distance for HERO SUSCEPTIBLE Ordinance</t>
  </si>
  <si>
    <t>Multiple Fixed or mobile emitters that are colocated and operating in phase</t>
  </si>
  <si>
    <t>SANS 1717-1 :2005</t>
  </si>
  <si>
    <t>Spec</t>
  </si>
  <si>
    <t>SANS 6220</t>
  </si>
  <si>
    <t>EED Safety</t>
  </si>
  <si>
    <t>30V</t>
  </si>
  <si>
    <t>SANS 61000-4-6 (150kHz - 80MHz)</t>
  </si>
  <si>
    <t>30V/m</t>
  </si>
  <si>
    <t>SANS 61000-4-3 (80MHz -1GHz)</t>
  </si>
  <si>
    <t>SANS 61000-4-3 (1GHz - 2GHz)</t>
  </si>
  <si>
    <t>10V/m</t>
  </si>
  <si>
    <r>
      <t>ESD (C=2.5nF, R</t>
    </r>
    <r>
      <rPr>
        <vertAlign val="subscript"/>
        <sz val="11"/>
        <color theme="1"/>
        <rFont val="Calibri"/>
        <family val="2"/>
        <scheme val="minor"/>
      </rPr>
      <t>D</t>
    </r>
    <r>
      <rPr>
        <sz val="11"/>
        <color theme="1"/>
        <rFont val="Calibri"/>
        <family val="2"/>
        <scheme val="minor"/>
      </rPr>
      <t>=R</t>
    </r>
    <r>
      <rPr>
        <vertAlign val="subscript"/>
        <sz val="11"/>
        <color theme="1"/>
        <rFont val="Calibri"/>
        <family val="2"/>
        <scheme val="minor"/>
      </rPr>
      <t>EUT</t>
    </r>
    <r>
      <rPr>
        <sz val="11"/>
        <color theme="1"/>
        <rFont val="Calibri"/>
        <family val="2"/>
        <scheme val="minor"/>
      </rPr>
      <t>)</t>
    </r>
  </si>
  <si>
    <t>30kV</t>
  </si>
  <si>
    <t>BS6657</t>
  </si>
  <si>
    <t>ARP 1717:2017</t>
  </si>
  <si>
    <t xml:space="preserve">ESD </t>
  </si>
  <si>
    <t>15kV Air 8kV Contact</t>
  </si>
  <si>
    <t>CEN/TS 13763-27 4.5.6.4.4.1</t>
  </si>
  <si>
    <t>EN 61000-4-4</t>
  </si>
  <si>
    <t>4 kV pwr lines 2 kV signal lines</t>
  </si>
  <si>
    <t>EN61000-4-5</t>
  </si>
  <si>
    <t>4 kV L-L 2kV L-E</t>
  </si>
  <si>
    <t>SANS 60079-0</t>
  </si>
  <si>
    <t>SANS 60529</t>
  </si>
  <si>
    <t>SANS 762</t>
  </si>
  <si>
    <t>MIL STD 331</t>
  </si>
  <si>
    <t>EN 13763-13 ESD</t>
  </si>
  <si>
    <t>EN 13763-14 Radiated immunity</t>
  </si>
  <si>
    <t>4 kV L-L 2kV L-E (Only mains connected EUT)</t>
  </si>
  <si>
    <t xml:space="preserve">SANS 53763-26 EN 13763-26 </t>
  </si>
  <si>
    <t>-</t>
  </si>
  <si>
    <t>10V</t>
  </si>
  <si>
    <t>Shock Tube</t>
  </si>
  <si>
    <t>Electronic Detonators</t>
  </si>
  <si>
    <t>50-200V/m</t>
  </si>
  <si>
    <t>MIL STD 464</t>
  </si>
  <si>
    <t>Min 70V/m</t>
  </si>
  <si>
    <t>Power</t>
  </si>
  <si>
    <t>dBm</t>
  </si>
  <si>
    <t>Exclusion Distance = Root(30*Power)/Field</t>
  </si>
  <si>
    <t>Exclusion</t>
  </si>
  <si>
    <t>FF Distance</t>
  </si>
  <si>
    <t>Ecrit</t>
  </si>
  <si>
    <t>Antenna Gain</t>
  </si>
  <si>
    <t>(A safety factor of 2 is used when D&lt; 1 wavelength)</t>
  </si>
  <si>
    <t>PBE-5AC-Gen2 (Dish)</t>
  </si>
  <si>
    <t>Peak Power</t>
  </si>
  <si>
    <t>Description</t>
  </si>
  <si>
    <t>Unit</t>
  </si>
  <si>
    <t>W</t>
  </si>
  <si>
    <t>Pulse Width</t>
  </si>
  <si>
    <t>µS</t>
  </si>
  <si>
    <t>Average Power</t>
  </si>
  <si>
    <t>Symbol</t>
  </si>
  <si>
    <t>Pulse Repetition Time</t>
  </si>
  <si>
    <t>S</t>
  </si>
  <si>
    <t>Duty Cycle</t>
  </si>
  <si>
    <r>
      <t>P</t>
    </r>
    <r>
      <rPr>
        <vertAlign val="subscript"/>
        <sz val="11"/>
        <color theme="1"/>
        <rFont val="Calibri"/>
        <family val="2"/>
        <scheme val="minor"/>
      </rPr>
      <t>pk</t>
    </r>
  </si>
  <si>
    <t>d</t>
  </si>
  <si>
    <r>
      <t>P</t>
    </r>
    <r>
      <rPr>
        <vertAlign val="subscript"/>
        <sz val="11"/>
        <color theme="1"/>
        <rFont val="Calibri"/>
        <family val="2"/>
        <scheme val="minor"/>
      </rPr>
      <t>avg</t>
    </r>
  </si>
  <si>
    <r>
      <t>P</t>
    </r>
    <r>
      <rPr>
        <vertAlign val="subscript"/>
        <sz val="11"/>
        <color theme="1"/>
        <rFont val="Calibri"/>
        <family val="2"/>
        <scheme val="minor"/>
      </rPr>
      <t>rt</t>
    </r>
  </si>
  <si>
    <t>d.c.</t>
  </si>
  <si>
    <t>Value</t>
  </si>
  <si>
    <t>Result</t>
  </si>
  <si>
    <r>
      <t>P</t>
    </r>
    <r>
      <rPr>
        <vertAlign val="subscript"/>
        <sz val="11"/>
        <color theme="1"/>
        <rFont val="Calibri"/>
        <family val="2"/>
        <scheme val="minor"/>
      </rPr>
      <t>rf</t>
    </r>
  </si>
  <si>
    <t>Hz</t>
  </si>
  <si>
    <t>Pulse Repetition Frequency</t>
  </si>
  <si>
    <t>Duty Cycle Figure</t>
  </si>
  <si>
    <t>D</t>
  </si>
  <si>
    <t>EIRP (dBm)</t>
  </si>
  <si>
    <t>EIRP (Watt)</t>
  </si>
  <si>
    <t>v</t>
  </si>
  <si>
    <t>AFMAN 91-201</t>
  </si>
  <si>
    <t>NASA 8719&gt;12</t>
  </si>
  <si>
    <t>Distance (m)</t>
  </si>
  <si>
    <t>TR50426 Distance (m) to required fieldstrength (V/m) (Modulation Factor 1 for worst case)</t>
  </si>
  <si>
    <t>MAXAM SOURCES</t>
  </si>
  <si>
    <t>VHF Hand held radio</t>
  </si>
  <si>
    <t>UHF1 Hand held radio</t>
  </si>
  <si>
    <t>UHF2 Handheld Radio</t>
  </si>
  <si>
    <t>VHF Handheld Radio (High power setting)</t>
  </si>
  <si>
    <t>Generic vehicle  base station (VHF)</t>
  </si>
  <si>
    <t>Generic vehicle  base station (UHF1)</t>
  </si>
  <si>
    <t>Generic vehicle  base station (UHF2)</t>
  </si>
  <si>
    <t>Wireless LAN (802.11ac) with external antenna</t>
  </si>
  <si>
    <t>Automotive Tracking System</t>
  </si>
  <si>
    <t>Track and Trace Dolphin CT60</t>
  </si>
  <si>
    <t>Camera (Typical)</t>
  </si>
  <si>
    <t>Emergency Alarm (SRD)</t>
  </si>
  <si>
    <t>Area of aperture formed by input leads to EID</t>
  </si>
  <si>
    <t>Resistance of EID</t>
  </si>
  <si>
    <t>ohms</t>
  </si>
  <si>
    <t xml:space="preserve">No-fire current </t>
  </si>
  <si>
    <t>mA</t>
  </si>
  <si>
    <t>Safety resistor value</t>
  </si>
  <si>
    <t>Leading wire resistance</t>
  </si>
  <si>
    <t>Ω/m</t>
  </si>
  <si>
    <t>Total EED resistance</t>
  </si>
  <si>
    <t>Means of initiation</t>
  </si>
  <si>
    <t>Friction, heat, static, impact etc</t>
  </si>
  <si>
    <t>Permittivity (Chemicals)</t>
  </si>
  <si>
    <t>Conductivity (Chemicals</t>
  </si>
  <si>
    <t>S/m</t>
  </si>
  <si>
    <t>Minimum Ignition Energy</t>
  </si>
  <si>
    <t>mJoule</t>
  </si>
  <si>
    <t>Product</t>
  </si>
  <si>
    <t>Low Strength DryGel</t>
  </si>
  <si>
    <t>Medium Strength DryGel</t>
  </si>
  <si>
    <t>High Strength DryGel</t>
  </si>
  <si>
    <t>Ultra High Strength DryGel</t>
  </si>
  <si>
    <t>Medium Strength WaterGel</t>
  </si>
  <si>
    <t>High Strength WaterGel</t>
  </si>
  <si>
    <t>Electric Detonators</t>
  </si>
  <si>
    <t>Non Electric Detonators</t>
  </si>
  <si>
    <t xml:space="preserve">Methylamine nitrate </t>
  </si>
  <si>
    <t>Monomethylamine and Nitric(Watergel)</t>
  </si>
  <si>
    <t>Fuse Head Clips (Resistive bridge wire)</t>
  </si>
  <si>
    <t>Loaded detonator components for non-electric detonators</t>
  </si>
  <si>
    <t>Loaded detonator components for non-electric detonators Type I</t>
  </si>
  <si>
    <t>RIODET</t>
  </si>
  <si>
    <t>Rioper Magex (water gel)</t>
  </si>
  <si>
    <t>Rioper Seamex Water gel)</t>
  </si>
  <si>
    <t>Splitex with detonator cord (Water gel)</t>
  </si>
  <si>
    <r>
      <t>m</t>
    </r>
    <r>
      <rPr>
        <b/>
        <vertAlign val="superscript"/>
        <sz val="10"/>
        <color theme="1"/>
        <rFont val="Arial"/>
        <family val="2"/>
      </rPr>
      <t>2</t>
    </r>
  </si>
  <si>
    <t xml:space="preserve">Mobex T3 </t>
  </si>
  <si>
    <t>Mobex T3m</t>
  </si>
  <si>
    <t>WiFI</t>
  </si>
  <si>
    <t>GSM</t>
  </si>
  <si>
    <t>SRD</t>
  </si>
  <si>
    <t>Bluetooth</t>
  </si>
  <si>
    <t>MobileRadio</t>
  </si>
  <si>
    <t>Type</t>
  </si>
  <si>
    <t>SGM</t>
  </si>
  <si>
    <t>wifi</t>
  </si>
  <si>
    <t>INPUT Values</t>
  </si>
  <si>
    <t>Wireless LAN (802.11ac)b</t>
  </si>
  <si>
    <t>Wireless LAN (802.11ac) with external antenna(b)</t>
  </si>
  <si>
    <t>Wireless LAN (802.11ac)B</t>
  </si>
  <si>
    <t>Array Of Input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</si>
</sst>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vertAlign val="subscript"/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sz val="11"/>
      <color rgb="FF000000"/>
      <name val="Calibri"/>
      <family val="2"/>
    </font>
    <font>
      <sz val="16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76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0" xfId="0" quotePrefix="1"/>
    <xf numFmtId="0" fontId="0" fillId="3" borderId="0" xfId="0" applyFill="1"/>
    <xf numFmtId="2" fontId="0" fillId="3" borderId="0" xfId="0" applyNumberFormat="1" applyFill="1"/>
    <xf numFmtId="2" fontId="1" fillId="2" borderId="2" xfId="0" applyNumberFormat="1" applyFont="1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/>
    </xf>
    <xf numFmtId="2" fontId="0" fillId="4" borderId="0" xfId="0" applyNumberFormat="1" applyFill="1"/>
    <xf numFmtId="2" fontId="0" fillId="0" borderId="0" xfId="0" applyNumberFormat="1"/>
    <xf numFmtId="0" fontId="0" fillId="5" borderId="1" xfId="0" applyFill="1" applyBorder="1" applyAlignment="1">
      <alignment wrapText="1"/>
    </xf>
    <xf numFmtId="0" fontId="6" fillId="0" borderId="1" xfId="0" applyFont="1" applyBorder="1"/>
    <xf numFmtId="14" fontId="0" fillId="0" borderId="0" xfId="0" applyNumberFormat="1" applyAlignment="1">
      <alignment wrapText="1"/>
    </xf>
    <xf numFmtId="0" fontId="7" fillId="0" borderId="0" xfId="0" applyFont="1" applyAlignment="1">
      <alignment wrapText="1"/>
    </xf>
    <xf numFmtId="0" fontId="1" fillId="5" borderId="0" xfId="0" applyFont="1" applyFill="1" applyAlignment="1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/>
    <xf numFmtId="2" fontId="0" fillId="0" borderId="0" xfId="0" applyNumberFormat="1" applyBorder="1"/>
    <xf numFmtId="0" fontId="0" fillId="0" borderId="0" xfId="0" applyBorder="1"/>
    <xf numFmtId="2" fontId="0" fillId="0" borderId="12" xfId="0" applyNumberFormat="1" applyBorder="1"/>
    <xf numFmtId="0" fontId="0" fillId="0" borderId="13" xfId="0" applyBorder="1"/>
    <xf numFmtId="2" fontId="0" fillId="0" borderId="14" xfId="0" applyNumberFormat="1" applyBorder="1"/>
    <xf numFmtId="0" fontId="0" fillId="0" borderId="14" xfId="0" applyBorder="1"/>
    <xf numFmtId="2" fontId="0" fillId="0" borderId="15" xfId="0" applyNumberFormat="1" applyBorder="1"/>
    <xf numFmtId="0" fontId="0" fillId="0" borderId="16" xfId="0" applyBorder="1"/>
    <xf numFmtId="2" fontId="0" fillId="0" borderId="17" xfId="0" applyNumberFormat="1" applyBorder="1"/>
    <xf numFmtId="0" fontId="0" fillId="0" borderId="17" xfId="0" applyBorder="1"/>
    <xf numFmtId="2" fontId="0" fillId="0" borderId="18" xfId="0" applyNumberFormat="1" applyBorder="1"/>
    <xf numFmtId="0" fontId="0" fillId="6" borderId="0" xfId="0" applyFill="1"/>
    <xf numFmtId="0" fontId="0" fillId="7" borderId="0" xfId="0" applyFill="1"/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/>
    </xf>
    <xf numFmtId="2" fontId="0" fillId="0" borderId="0" xfId="0" applyNumberFormat="1" applyBorder="1" applyAlignment="1">
      <alignment horizontal="center" vertical="center"/>
    </xf>
    <xf numFmtId="0" fontId="0" fillId="0" borderId="0" xfId="0" applyBorder="1" applyAlignment="1">
      <alignment wrapText="1"/>
    </xf>
    <xf numFmtId="0" fontId="0" fillId="0" borderId="5" xfId="0" applyBorder="1" applyAlignment="1">
      <alignment horizontal="center" vertical="center"/>
    </xf>
    <xf numFmtId="2" fontId="1" fillId="2" borderId="7" xfId="0" applyNumberFormat="1" applyFont="1" applyFill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wrapText="1"/>
    </xf>
    <xf numFmtId="0" fontId="1" fillId="0" borderId="0" xfId="0" applyFont="1" applyFill="1" applyBorder="1" applyAlignment="1">
      <alignment horizontal="center" wrapText="1"/>
    </xf>
    <xf numFmtId="2" fontId="1" fillId="0" borderId="0" xfId="0" applyNumberFormat="1" applyFont="1" applyFill="1" applyBorder="1" applyAlignment="1">
      <alignment horizontal="center" vertical="center" wrapText="1"/>
    </xf>
    <xf numFmtId="0" fontId="0" fillId="8" borderId="1" xfId="0" applyFill="1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0" fillId="8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left" wrapText="1"/>
    </xf>
    <xf numFmtId="2" fontId="0" fillId="8" borderId="1" xfId="0" applyNumberFormat="1" applyFill="1" applyBorder="1" applyAlignment="1">
      <alignment horizontal="center" vertical="center" wrapText="1"/>
    </xf>
    <xf numFmtId="1" fontId="0" fillId="8" borderId="1" xfId="0" applyNumberFormat="1" applyFill="1" applyBorder="1" applyAlignment="1">
      <alignment horizontal="center" vertical="center" wrapText="1"/>
    </xf>
    <xf numFmtId="0" fontId="0" fillId="8" borderId="0" xfId="0" applyFill="1" applyBorder="1" applyAlignment="1">
      <alignment horizontal="center" vertical="center" wrapText="1"/>
    </xf>
    <xf numFmtId="2" fontId="0" fillId="8" borderId="1" xfId="0" applyNumberFormat="1" applyFill="1" applyBorder="1" applyAlignment="1">
      <alignment horizont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wrapText="1"/>
    </xf>
    <xf numFmtId="1" fontId="0" fillId="0" borderId="1" xfId="0" applyNumberFormat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wrapText="1"/>
    </xf>
    <xf numFmtId="0" fontId="0" fillId="0" borderId="1" xfId="0" applyFill="1" applyBorder="1" applyAlignment="1">
      <alignment wrapText="1"/>
    </xf>
    <xf numFmtId="0" fontId="0" fillId="5" borderId="1" xfId="0" applyFill="1" applyBorder="1" applyAlignment="1">
      <alignment horizontal="center" vertical="center" wrapText="1"/>
    </xf>
    <xf numFmtId="2" fontId="6" fillId="8" borderId="1" xfId="0" applyNumberFormat="1" applyFont="1" applyFill="1" applyBorder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1" fontId="6" fillId="8" borderId="1" xfId="0" applyNumberFormat="1" applyFont="1" applyFill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left" wrapText="1"/>
    </xf>
    <xf numFmtId="0" fontId="0" fillId="0" borderId="0" xfId="0" applyFill="1" applyBorder="1" applyAlignment="1">
      <alignment horizontal="center" vertical="center" wrapText="1"/>
    </xf>
    <xf numFmtId="0" fontId="0" fillId="0" borderId="0" xfId="0" applyFill="1" applyAlignment="1">
      <alignment wrapText="1"/>
    </xf>
    <xf numFmtId="1" fontId="6" fillId="0" borderId="1" xfId="0" applyNumberFormat="1" applyFont="1" applyFill="1" applyBorder="1" applyAlignment="1">
      <alignment horizontal="center" vertical="center" wrapText="1"/>
    </xf>
    <xf numFmtId="2" fontId="6" fillId="0" borderId="1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9" fillId="0" borderId="1" xfId="0" applyFont="1" applyBorder="1"/>
    <xf numFmtId="0" fontId="9" fillId="0" borderId="1" xfId="0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 wrapText="1"/>
    </xf>
    <xf numFmtId="0" fontId="0" fillId="8" borderId="2" xfId="0" applyFill="1" applyBorder="1" applyAlignment="1">
      <alignment horizontal="center" vertical="center" wrapText="1"/>
    </xf>
    <xf numFmtId="0" fontId="0" fillId="8" borderId="2" xfId="0" applyFill="1" applyBorder="1" applyAlignment="1">
      <alignment wrapText="1"/>
    </xf>
    <xf numFmtId="1" fontId="0" fillId="8" borderId="2" xfId="0" applyNumberFormat="1" applyFill="1" applyBorder="1" applyAlignment="1">
      <alignment horizontal="center" vertical="center" wrapText="1"/>
    </xf>
    <xf numFmtId="2" fontId="0" fillId="8" borderId="2" xfId="0" applyNumberFormat="1" applyFill="1" applyBorder="1" applyAlignment="1">
      <alignment horizontal="center" vertical="center" wrapText="1"/>
    </xf>
    <xf numFmtId="2" fontId="0" fillId="8" borderId="2" xfId="0" applyNumberFormat="1" applyFill="1" applyBorder="1" applyAlignment="1">
      <alignment horizontal="center" wrapText="1"/>
    </xf>
    <xf numFmtId="1" fontId="6" fillId="8" borderId="2" xfId="0" applyNumberFormat="1" applyFont="1" applyFill="1" applyBorder="1" applyAlignment="1">
      <alignment horizontal="center" vertical="center" wrapText="1"/>
    </xf>
    <xf numFmtId="2" fontId="6" fillId="8" borderId="2" xfId="0" applyNumberFormat="1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1" fillId="2" borderId="1" xfId="0" applyFont="1" applyFill="1" applyBorder="1" applyAlignment="1">
      <alignment horizontal="center" vertical="center" wrapText="1"/>
    </xf>
    <xf numFmtId="0" fontId="13" fillId="0" borderId="0" xfId="0" applyFont="1"/>
    <xf numFmtId="0" fontId="0" fillId="0" borderId="0" xfId="0" applyFont="1"/>
    <xf numFmtId="0" fontId="8" fillId="2" borderId="0" xfId="0" applyFont="1" applyFill="1" applyBorder="1" applyAlignment="1">
      <alignment horizontal="center" vertical="center" wrapText="1" shrinkToFit="1"/>
    </xf>
    <xf numFmtId="0" fontId="0" fillId="0" borderId="0" xfId="0" applyAlignment="1">
      <alignment wrapText="1" shrinkToFit="1"/>
    </xf>
    <xf numFmtId="0" fontId="0" fillId="0" borderId="0" xfId="0" applyFill="1" applyBorder="1" applyAlignment="1">
      <alignment wrapText="1" shrinkToFit="1"/>
    </xf>
    <xf numFmtId="0" fontId="1" fillId="2" borderId="1" xfId="0" applyFont="1" applyFill="1" applyBorder="1" applyAlignment="1">
      <alignment horizontal="center" vertical="center" wrapText="1" shrinkToFit="1"/>
    </xf>
    <xf numFmtId="0" fontId="1" fillId="2" borderId="0" xfId="0" applyFont="1" applyFill="1" applyBorder="1" applyAlignment="1">
      <alignment horizontal="center" vertical="center" wrapText="1" shrinkToFit="1"/>
    </xf>
    <xf numFmtId="0" fontId="1" fillId="3" borderId="2" xfId="0" applyFont="1" applyFill="1" applyBorder="1" applyAlignment="1">
      <alignment horizontal="center" wrapText="1" shrinkToFit="1"/>
    </xf>
    <xf numFmtId="0" fontId="1" fillId="0" borderId="0" xfId="0" applyFont="1" applyFill="1" applyBorder="1" applyAlignment="1">
      <alignment horizontal="center" wrapText="1" shrinkToFit="1"/>
    </xf>
    <xf numFmtId="0" fontId="1" fillId="5" borderId="1" xfId="0" applyFont="1" applyFill="1" applyBorder="1" applyAlignment="1">
      <alignment horizontal="center" wrapText="1" shrinkToFit="1"/>
    </xf>
    <xf numFmtId="2" fontId="1" fillId="2" borderId="1" xfId="0" applyNumberFormat="1" applyFont="1" applyFill="1" applyBorder="1" applyAlignment="1">
      <alignment horizontal="center" vertical="center" wrapText="1" shrinkToFit="1"/>
    </xf>
    <xf numFmtId="0" fontId="0" fillId="3" borderId="3" xfId="0" applyFill="1" applyBorder="1" applyAlignment="1">
      <alignment horizontal="center" wrapText="1" shrinkToFit="1"/>
    </xf>
    <xf numFmtId="0" fontId="0" fillId="5" borderId="1" xfId="0" applyFill="1" applyBorder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0" fillId="0" borderId="1" xfId="0" applyFill="1" applyBorder="1" applyAlignment="1">
      <alignment horizontal="center" vertical="center" wrapText="1" shrinkToFit="1"/>
    </xf>
    <xf numFmtId="0" fontId="0" fillId="0" borderId="1" xfId="0" applyBorder="1" applyAlignment="1">
      <alignment horizontal="left" wrapText="1" shrinkToFit="1"/>
    </xf>
    <xf numFmtId="0" fontId="0" fillId="0" borderId="1" xfId="0" applyBorder="1" applyAlignment="1">
      <alignment horizontal="center" vertical="center" wrapText="1" shrinkToFit="1"/>
    </xf>
    <xf numFmtId="1" fontId="0" fillId="0" borderId="1" xfId="0" applyNumberFormat="1" applyBorder="1" applyAlignment="1">
      <alignment horizontal="center" vertical="center" wrapText="1" shrinkToFit="1"/>
    </xf>
    <xf numFmtId="2" fontId="0" fillId="0" borderId="1" xfId="0" applyNumberFormat="1" applyBorder="1" applyAlignment="1">
      <alignment horizontal="center" vertical="center" wrapText="1" shrinkToFit="1"/>
    </xf>
    <xf numFmtId="0" fontId="0" fillId="0" borderId="0" xfId="0" applyBorder="1" applyAlignment="1">
      <alignment horizontal="center" vertical="center" wrapText="1" shrinkToFit="1"/>
    </xf>
    <xf numFmtId="2" fontId="0" fillId="8" borderId="1" xfId="0" applyNumberFormat="1" applyFill="1" applyBorder="1" applyAlignment="1">
      <alignment horizontal="center" vertical="center" wrapText="1" shrinkToFit="1"/>
    </xf>
    <xf numFmtId="0" fontId="0" fillId="0" borderId="1" xfId="0" applyBorder="1" applyAlignment="1">
      <alignment wrapText="1" shrinkToFit="1"/>
    </xf>
    <xf numFmtId="0" fontId="0" fillId="0" borderId="0" xfId="0" applyBorder="1" applyAlignment="1">
      <alignment wrapText="1" shrinkToFit="1"/>
    </xf>
    <xf numFmtId="2" fontId="0" fillId="0" borderId="1" xfId="0" applyNumberFormat="1" applyFill="1" applyBorder="1" applyAlignment="1">
      <alignment horizontal="center" vertical="center" wrapText="1" shrinkToFit="1"/>
    </xf>
    <xf numFmtId="2" fontId="0" fillId="0" borderId="1" xfId="0" applyNumberFormat="1" applyFill="1" applyBorder="1" applyAlignment="1">
      <alignment horizontal="center" wrapText="1" shrinkToFit="1"/>
    </xf>
    <xf numFmtId="1" fontId="6" fillId="0" borderId="1" xfId="0" applyNumberFormat="1" applyFont="1" applyBorder="1" applyAlignment="1">
      <alignment horizontal="center" vertical="center" wrapText="1" shrinkToFit="1"/>
    </xf>
    <xf numFmtId="2" fontId="6" fillId="0" borderId="1" xfId="0" applyNumberFormat="1" applyFont="1" applyBorder="1" applyAlignment="1">
      <alignment horizontal="center" vertical="center" wrapText="1" shrinkToFit="1"/>
    </xf>
    <xf numFmtId="0" fontId="0" fillId="8" borderId="1" xfId="0" applyFill="1" applyBorder="1" applyAlignment="1">
      <alignment horizontal="center" vertical="center" wrapText="1" shrinkToFit="1"/>
    </xf>
    <xf numFmtId="0" fontId="0" fillId="0" borderId="1" xfId="0" applyFill="1" applyBorder="1" applyAlignment="1">
      <alignment wrapText="1" shrinkToFit="1"/>
    </xf>
    <xf numFmtId="0" fontId="1" fillId="2" borderId="1" xfId="0" applyFont="1" applyFill="1" applyBorder="1" applyAlignment="1">
      <alignment horizontal="center" vertical="center" wrapText="1"/>
    </xf>
    <xf numFmtId="0" fontId="14" fillId="0" borderId="0" xfId="0" applyFont="1"/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 wrapText="1"/>
    </xf>
    <xf numFmtId="0" fontId="1" fillId="9" borderId="5" xfId="0" applyFont="1" applyFill="1" applyBorder="1" applyAlignment="1">
      <alignment horizontal="center" wrapText="1"/>
    </xf>
    <xf numFmtId="2" fontId="1" fillId="2" borderId="5" xfId="0" applyNumberFormat="1" applyFont="1" applyFill="1" applyBorder="1" applyAlignment="1">
      <alignment horizontal="center" vertical="center" wrapText="1"/>
    </xf>
    <xf numFmtId="2" fontId="1" fillId="2" borderId="6" xfId="0" applyNumberFormat="1" applyFont="1" applyFill="1" applyBorder="1" applyAlignment="1">
      <alignment horizontal="center" vertical="center" wrapText="1"/>
    </xf>
    <xf numFmtId="2" fontId="1" fillId="2" borderId="7" xfId="0" applyNumberFormat="1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center" vertical="center" wrapTex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5" xfId="0" applyFont="1" applyFill="1" applyBorder="1" applyAlignment="1">
      <alignment horizontal="center" vertical="center" wrapText="1"/>
    </xf>
    <xf numFmtId="0" fontId="0" fillId="0" borderId="20" xfId="0" applyFill="1" applyBorder="1" applyAlignment="1">
      <alignment horizont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 wrapText="1"/>
    </xf>
    <xf numFmtId="0" fontId="8" fillId="2" borderId="19" xfId="0" applyFont="1" applyFill="1" applyBorder="1" applyAlignment="1">
      <alignment horizontal="center" vertical="center" wrapText="1" shrinkToFit="1"/>
    </xf>
    <xf numFmtId="0" fontId="8" fillId="2" borderId="14" xfId="0" applyFont="1" applyFill="1" applyBorder="1" applyAlignment="1">
      <alignment horizontal="center" vertical="center" wrapText="1" shrinkToFit="1"/>
    </xf>
    <xf numFmtId="0" fontId="8" fillId="2" borderId="9" xfId="0" applyFont="1" applyFill="1" applyBorder="1" applyAlignment="1">
      <alignment horizontal="center" vertical="center" wrapText="1" shrinkToFit="1"/>
    </xf>
    <xf numFmtId="0" fontId="8" fillId="2" borderId="15" xfId="0" applyFont="1" applyFill="1" applyBorder="1" applyAlignment="1">
      <alignment horizontal="center" vertical="center" wrapText="1" shrinkToFit="1"/>
    </xf>
    <xf numFmtId="0" fontId="0" fillId="0" borderId="20" xfId="0" applyFill="1" applyBorder="1" applyAlignment="1">
      <alignment horizontal="center" wrapText="1" shrinkToFit="1"/>
    </xf>
    <xf numFmtId="0" fontId="1" fillId="9" borderId="1" xfId="0" applyFont="1" applyFill="1" applyBorder="1" applyAlignment="1">
      <alignment horizontal="center" wrapText="1" shrinkToFit="1"/>
    </xf>
    <xf numFmtId="0" fontId="1" fillId="9" borderId="5" xfId="0" applyFont="1" applyFill="1" applyBorder="1" applyAlignment="1">
      <alignment horizontal="center" wrapText="1" shrinkToFit="1"/>
    </xf>
    <xf numFmtId="0" fontId="1" fillId="2" borderId="1" xfId="0" applyFont="1" applyFill="1" applyBorder="1" applyAlignment="1">
      <alignment horizontal="center" vertical="center" wrapText="1" shrinkToFit="1"/>
    </xf>
    <xf numFmtId="2" fontId="1" fillId="2" borderId="5" xfId="0" applyNumberFormat="1" applyFont="1" applyFill="1" applyBorder="1" applyAlignment="1">
      <alignment horizontal="center" vertical="center" wrapText="1" shrinkToFit="1"/>
    </xf>
    <xf numFmtId="2" fontId="1" fillId="2" borderId="6" xfId="0" applyNumberFormat="1" applyFont="1" applyFill="1" applyBorder="1" applyAlignment="1">
      <alignment horizontal="center" vertical="center" wrapText="1" shrinkToFit="1"/>
    </xf>
    <xf numFmtId="2" fontId="1" fillId="2" borderId="7" xfId="0" applyNumberFormat="1" applyFont="1" applyFill="1" applyBorder="1" applyAlignment="1">
      <alignment horizontal="center" vertical="center" wrapText="1" shrinkToFit="1"/>
    </xf>
    <xf numFmtId="0" fontId="0" fillId="10" borderId="0" xfId="0" applyFill="1"/>
  </cellXfs>
  <cellStyles count="1">
    <cellStyle name="Normal" xfId="0" builtinId="0"/>
  </cellStyles>
  <dxfs count="5">
    <dxf>
      <font>
        <color rgb="FF006100"/>
      </font>
      <fill>
        <patternFill>
          <bgColor rgb="FFC6EFCE"/>
        </patternFill>
      </fill>
    </dxf>
    <dxf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'AFMAN Graphs'!$B$1</c:f>
              <c:strCache>
                <c:ptCount val="1"/>
                <c:pt idx="0">
                  <c:v>E</c:v>
                </c:pt>
              </c:strCache>
            </c:strRef>
          </c:tx>
          <c:marker>
            <c:symbol val="none"/>
          </c:marker>
          <c:xVal>
            <c:numRef>
              <c:f>'AFMAN Graphs'!$A$2:$A$5</c:f>
              <c:numCache>
                <c:formatCode>General</c:formatCode>
                <c:ptCount val="4"/>
                <c:pt idx="0">
                  <c:v>0.01</c:v>
                </c:pt>
                <c:pt idx="1">
                  <c:v>2</c:v>
                </c:pt>
                <c:pt idx="2">
                  <c:v>80</c:v>
                </c:pt>
                <c:pt idx="3">
                  <c:v>100000</c:v>
                </c:pt>
              </c:numCache>
            </c:numRef>
          </c:xVal>
          <c:yVal>
            <c:numRef>
              <c:f>'AFMAN Graphs'!$B$2:$B$5</c:f>
              <c:numCache>
                <c:formatCode>General</c:formatCode>
                <c:ptCount val="4"/>
                <c:pt idx="0">
                  <c:v>400</c:v>
                </c:pt>
                <c:pt idx="1">
                  <c:v>2</c:v>
                </c:pt>
                <c:pt idx="2">
                  <c:v>2</c:v>
                </c:pt>
                <c:pt idx="3">
                  <c:v>2500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65-4FC9-861E-751E563898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87136"/>
        <c:axId val="235565824"/>
      </c:scatterChart>
      <c:valAx>
        <c:axId val="202587136"/>
        <c:scaling>
          <c:logBase val="10"/>
          <c:orientation val="minMax"/>
        </c:scaling>
        <c:delete val="0"/>
        <c:axPos val="b"/>
        <c:majorGridlines/>
        <c:minorGridlines/>
        <c:numFmt formatCode="General" sourceLinked="1"/>
        <c:majorTickMark val="out"/>
        <c:minorTickMark val="none"/>
        <c:tickLblPos val="nextTo"/>
        <c:crossAx val="235565824"/>
        <c:crossesAt val="1.0000000000000002E-2"/>
        <c:crossBetween val="midCat"/>
      </c:valAx>
      <c:valAx>
        <c:axId val="235565824"/>
        <c:scaling>
          <c:logBase val="10"/>
          <c:orientation val="minMax"/>
          <c:min val="1"/>
        </c:scaling>
        <c:delete val="0"/>
        <c:axPos val="l"/>
        <c:majorGridlines/>
        <c:minorGridlines/>
        <c:numFmt formatCode="General" sourceLinked="1"/>
        <c:majorTickMark val="out"/>
        <c:minorTickMark val="none"/>
        <c:tickLblPos val="nextTo"/>
        <c:crossAx val="202587136"/>
        <c:crossesAt val="1.0000000000000002E-2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ZA"/>
              <a:t>Exclusion Zone Comparison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FRISS 30V/m</c:v>
          </c:tx>
          <c:spPr>
            <a:ln w="28575" cap="rnd" cmpd="sng" algn="ctr">
              <a:solidFill>
                <a:schemeClr val="accent6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Data'!$J$69:$J$90</c:f>
              <c:numCache>
                <c:formatCode>0.00</c:formatCode>
                <c:ptCount val="22"/>
                <c:pt idx="0">
                  <c:v>1.627213311542048</c:v>
                </c:pt>
                <c:pt idx="1">
                  <c:v>1.8257633646359867E-2</c:v>
                </c:pt>
                <c:pt idx="2">
                  <c:v>0.18257633646359869</c:v>
                </c:pt>
                <c:pt idx="3">
                  <c:v>0.25789593001450956</c:v>
                </c:pt>
                <c:pt idx="4">
                  <c:v>3.6428768375089667E-7</c:v>
                </c:pt>
                <c:pt idx="5">
                  <c:v>5.7735707007422359E-2</c:v>
                </c:pt>
                <c:pt idx="6">
                  <c:v>9.1288168231799346E-2</c:v>
                </c:pt>
                <c:pt idx="7">
                  <c:v>0.25820193119521467</c:v>
                </c:pt>
                <c:pt idx="8">
                  <c:v>0.18257633646359869</c:v>
                </c:pt>
                <c:pt idx="9">
                  <c:v>9.1288168231799346E-2</c:v>
                </c:pt>
                <c:pt idx="10">
                  <c:v>9.1288168231799346E-2</c:v>
                </c:pt>
                <c:pt idx="11">
                  <c:v>5.7735707007422359E-2</c:v>
                </c:pt>
                <c:pt idx="12">
                  <c:v>0.18257633646359869</c:v>
                </c:pt>
                <c:pt idx="13">
                  <c:v>0.12777458773346759</c:v>
                </c:pt>
                <c:pt idx="14">
                  <c:v>0.50285698643837029</c:v>
                </c:pt>
                <c:pt idx="15">
                  <c:v>0.18257633646359869</c:v>
                </c:pt>
                <c:pt idx="16">
                  <c:v>0.36515267292719739</c:v>
                </c:pt>
                <c:pt idx="17">
                  <c:v>0.36515267292719739</c:v>
                </c:pt>
                <c:pt idx="18">
                  <c:v>0.40825309941548021</c:v>
                </c:pt>
                <c:pt idx="19">
                  <c:v>1.2247592982464406</c:v>
                </c:pt>
                <c:pt idx="20">
                  <c:v>1.1547141401484471</c:v>
                </c:pt>
                <c:pt idx="21">
                  <c:v>1.1547141401484471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89-44E1-B36C-6CAF780CE018}"/>
            </c:ext>
          </c:extLst>
        </c:ser>
        <c:ser>
          <c:idx val="1"/>
          <c:order val="1"/>
          <c:tx>
            <c:v>FRISS 10V/m</c:v>
          </c:tx>
          <c:spPr>
            <a:ln w="28575" cap="rnd" cmpd="sng" algn="ctr">
              <a:solidFill>
                <a:schemeClr val="accent5"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Data'!$K$69:$K$90</c:f>
              <c:numCache>
                <c:formatCode>0.00</c:formatCode>
                <c:ptCount val="22"/>
                <c:pt idx="0">
                  <c:v>4.8816399346261434</c:v>
                </c:pt>
                <c:pt idx="1">
                  <c:v>5.4772900939079598E-2</c:v>
                </c:pt>
                <c:pt idx="2">
                  <c:v>0.54772900939079605</c:v>
                </c:pt>
                <c:pt idx="3">
                  <c:v>0.77368779004352872</c:v>
                </c:pt>
                <c:pt idx="4">
                  <c:v>1.0928630512526899E-6</c:v>
                </c:pt>
                <c:pt idx="5">
                  <c:v>0.17320712102226707</c:v>
                </c:pt>
                <c:pt idx="6">
                  <c:v>0.27386450469539803</c:v>
                </c:pt>
                <c:pt idx="7">
                  <c:v>0.77460579358564408</c:v>
                </c:pt>
                <c:pt idx="8">
                  <c:v>0.54772900939079605</c:v>
                </c:pt>
                <c:pt idx="9">
                  <c:v>0.27386450469539803</c:v>
                </c:pt>
                <c:pt idx="10">
                  <c:v>0.27386450469539803</c:v>
                </c:pt>
                <c:pt idx="11">
                  <c:v>0.17320712102226707</c:v>
                </c:pt>
                <c:pt idx="12">
                  <c:v>0.54772900939079605</c:v>
                </c:pt>
                <c:pt idx="13">
                  <c:v>0.38332376320040273</c:v>
                </c:pt>
                <c:pt idx="14">
                  <c:v>1.5085709593151109</c:v>
                </c:pt>
                <c:pt idx="15">
                  <c:v>0.54772900939079605</c:v>
                </c:pt>
                <c:pt idx="16">
                  <c:v>1.0954580187815921</c:v>
                </c:pt>
                <c:pt idx="17">
                  <c:v>1.0954580187815921</c:v>
                </c:pt>
                <c:pt idx="18">
                  <c:v>1.2247592982464406</c:v>
                </c:pt>
                <c:pt idx="19">
                  <c:v>3.6742778947393218</c:v>
                </c:pt>
                <c:pt idx="20">
                  <c:v>3.4641424204453415</c:v>
                </c:pt>
                <c:pt idx="21">
                  <c:v>3.4641424204453415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589-44E1-B36C-6CAF780CE018}"/>
            </c:ext>
          </c:extLst>
        </c:ser>
        <c:ser>
          <c:idx val="2"/>
          <c:order val="2"/>
          <c:tx>
            <c:v>FRISS 3V/m</c:v>
          </c:tx>
          <c:spPr>
            <a:ln w="28575" cap="rnd" cmpd="sng" algn="ctr">
              <a:solidFill>
                <a:srgbClr val="00B05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Data'!$L$69:$L$90</c:f>
              <c:numCache>
                <c:formatCode>0.00</c:formatCode>
                <c:ptCount val="22"/>
                <c:pt idx="0">
                  <c:v>16.27213311542048</c:v>
                </c:pt>
                <c:pt idx="1">
                  <c:v>0.18257633646359869</c:v>
                </c:pt>
                <c:pt idx="2">
                  <c:v>1.8257633646359868</c:v>
                </c:pt>
                <c:pt idx="3">
                  <c:v>2.5789593001450957</c:v>
                </c:pt>
                <c:pt idx="4">
                  <c:v>3.6428768375089669E-6</c:v>
                </c:pt>
                <c:pt idx="5">
                  <c:v>0.57735707007422365</c:v>
                </c:pt>
                <c:pt idx="6">
                  <c:v>0.91288168231799338</c:v>
                </c:pt>
                <c:pt idx="7">
                  <c:v>2.5820193119521471</c:v>
                </c:pt>
                <c:pt idx="8">
                  <c:v>1.8257633646359868</c:v>
                </c:pt>
                <c:pt idx="9">
                  <c:v>0.91288168231799338</c:v>
                </c:pt>
                <c:pt idx="10">
                  <c:v>0.91288168231799338</c:v>
                </c:pt>
                <c:pt idx="11">
                  <c:v>0.57735707007422365</c:v>
                </c:pt>
                <c:pt idx="12">
                  <c:v>1.8257633646359868</c:v>
                </c:pt>
                <c:pt idx="13">
                  <c:v>1.2777458773346759</c:v>
                </c:pt>
                <c:pt idx="14">
                  <c:v>5.0285698643837033</c:v>
                </c:pt>
                <c:pt idx="15">
                  <c:v>1.8257633646359868</c:v>
                </c:pt>
                <c:pt idx="16">
                  <c:v>3.6515267292719735</c:v>
                </c:pt>
                <c:pt idx="17">
                  <c:v>3.6515267292719735</c:v>
                </c:pt>
                <c:pt idx="18">
                  <c:v>4.0825309941548023</c:v>
                </c:pt>
                <c:pt idx="19">
                  <c:v>12.247592982464406</c:v>
                </c:pt>
                <c:pt idx="20">
                  <c:v>11.547141401484472</c:v>
                </c:pt>
                <c:pt idx="21">
                  <c:v>11.547141401484472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89-44E1-B36C-6CAF780CE018}"/>
            </c:ext>
          </c:extLst>
        </c:ser>
        <c:ser>
          <c:idx val="3"/>
          <c:order val="3"/>
          <c:tx>
            <c:v>FRISS 1V/m</c:v>
          </c:tx>
          <c:spPr>
            <a:ln w="28575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Data'!$M$69:$M$90</c:f>
              <c:numCache>
                <c:formatCode>0.00</c:formatCode>
                <c:ptCount val="22"/>
                <c:pt idx="0">
                  <c:v>48.816399346261434</c:v>
                </c:pt>
                <c:pt idx="1">
                  <c:v>0.54772900939079605</c:v>
                </c:pt>
                <c:pt idx="2">
                  <c:v>5.4772900939079605</c:v>
                </c:pt>
                <c:pt idx="3">
                  <c:v>7.736877900435287</c:v>
                </c:pt>
                <c:pt idx="4">
                  <c:v>1.09286305125269E-5</c:v>
                </c:pt>
                <c:pt idx="5">
                  <c:v>1.7320712102226707</c:v>
                </c:pt>
                <c:pt idx="6">
                  <c:v>2.7386450469539803</c:v>
                </c:pt>
                <c:pt idx="7">
                  <c:v>7.7460579358564408</c:v>
                </c:pt>
                <c:pt idx="8">
                  <c:v>5.4772900939079605</c:v>
                </c:pt>
                <c:pt idx="9">
                  <c:v>2.7386450469539803</c:v>
                </c:pt>
                <c:pt idx="10">
                  <c:v>2.7386450469539803</c:v>
                </c:pt>
                <c:pt idx="11">
                  <c:v>1.7320712102226707</c:v>
                </c:pt>
                <c:pt idx="12">
                  <c:v>5.4772900939079605</c:v>
                </c:pt>
                <c:pt idx="13">
                  <c:v>3.8332376320040278</c:v>
                </c:pt>
                <c:pt idx="14">
                  <c:v>15.08570959315111</c:v>
                </c:pt>
                <c:pt idx="15">
                  <c:v>5.4772900939079605</c:v>
                </c:pt>
                <c:pt idx="16">
                  <c:v>10.954580187815921</c:v>
                </c:pt>
                <c:pt idx="17">
                  <c:v>10.954580187815921</c:v>
                </c:pt>
                <c:pt idx="18">
                  <c:v>12.247592982464406</c:v>
                </c:pt>
                <c:pt idx="19">
                  <c:v>36.742778947393219</c:v>
                </c:pt>
                <c:pt idx="20">
                  <c:v>34.641424204453415</c:v>
                </c:pt>
                <c:pt idx="21">
                  <c:v>34.641424204453415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589-44E1-B36C-6CAF780CE018}"/>
            </c:ext>
          </c:extLst>
        </c:ser>
        <c:ser>
          <c:idx val="4"/>
          <c:order val="4"/>
          <c:tx>
            <c:v>AFMAN 91-201 HERO UNSAFE</c:v>
          </c:tx>
          <c:spPr>
            <a:ln w="28575" cap="rnd" cmpd="sng" algn="ctr">
              <a:solidFill>
                <a:schemeClr val="accent6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Data'!$X$69:$X$90</c:f>
              <c:numCache>
                <c:formatCode>0.00</c:formatCode>
                <c:ptCount val="22"/>
                <c:pt idx="0">
                  <c:v>1.346096244491658</c:v>
                </c:pt>
                <c:pt idx="1">
                  <c:v>0.20188983636782673</c:v>
                </c:pt>
                <c:pt idx="2">
                  <c:v>0.97333333333333338</c:v>
                </c:pt>
                <c:pt idx="3">
                  <c:v>0.68743493838307401</c:v>
                </c:pt>
                <c:pt idx="4">
                  <c:v>2.1848122348909211E-5</c:v>
                </c:pt>
                <c:pt idx="5">
                  <c:v>0.11542313459614585</c:v>
                </c:pt>
                <c:pt idx="6">
                  <c:v>0.48666666666666669</c:v>
                </c:pt>
                <c:pt idx="7">
                  <c:v>1.3765012007098125</c:v>
                </c:pt>
                <c:pt idx="8">
                  <c:v>0.48666666666666669</c:v>
                </c:pt>
                <c:pt idx="9">
                  <c:v>0.20857142857142857</c:v>
                </c:pt>
                <c:pt idx="10">
                  <c:v>0.19043478260869565</c:v>
                </c:pt>
                <c:pt idx="11">
                  <c:v>0.11542313459614585</c:v>
                </c:pt>
                <c:pt idx="12">
                  <c:v>0.15103448275862069</c:v>
                </c:pt>
                <c:pt idx="13">
                  <c:v>0.25544232854082988</c:v>
                </c:pt>
                <c:pt idx="14">
                  <c:v>0.41598350760762665</c:v>
                </c:pt>
                <c:pt idx="15">
                  <c:v>5.6516129032258062</c:v>
                </c:pt>
                <c:pt idx="16">
                  <c:v>4.0183486238532113</c:v>
                </c:pt>
                <c:pt idx="17">
                  <c:v>3.6424116424116426</c:v>
                </c:pt>
                <c:pt idx="18">
                  <c:v>12.637390634127843</c:v>
                </c:pt>
                <c:pt idx="19">
                  <c:v>37.912171902383534</c:v>
                </c:pt>
                <c:pt idx="20">
                  <c:v>12.70713408397936</c:v>
                </c:pt>
                <c:pt idx="21">
                  <c:v>11.518316965935552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3589-44E1-B36C-6CAF780CE018}"/>
            </c:ext>
          </c:extLst>
        </c:ser>
        <c:ser>
          <c:idx val="5"/>
          <c:order val="5"/>
          <c:tx>
            <c:v>AFMAN HERO SUSCEPTIBLE</c:v>
          </c:tx>
          <c:spPr>
            <a:ln w="28575" cap="rnd" cmpd="sng" algn="ctr">
              <a:solidFill>
                <a:schemeClr val="accent3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Data'!$AA$69:$AA$90</c:f>
              <c:numCache>
                <c:formatCode>0.00</c:formatCode>
                <c:ptCount val="22"/>
                <c:pt idx="0">
                  <c:v>0.3365240611229145</c:v>
                </c:pt>
                <c:pt idx="1">
                  <c:v>5.0472459091956683E-2</c:v>
                </c:pt>
                <c:pt idx="2">
                  <c:v>0.24333333333333335</c:v>
                </c:pt>
                <c:pt idx="3">
                  <c:v>0.1718587345957685</c:v>
                </c:pt>
                <c:pt idx="4">
                  <c:v>5.4670187430147259E-6</c:v>
                </c:pt>
                <c:pt idx="5">
                  <c:v>2.8855783649036463E-2</c:v>
                </c:pt>
                <c:pt idx="6">
                  <c:v>0.12166666666666667</c:v>
                </c:pt>
                <c:pt idx="7">
                  <c:v>0.34412530017745313</c:v>
                </c:pt>
                <c:pt idx="8">
                  <c:v>0.12166666666666667</c:v>
                </c:pt>
                <c:pt idx="9">
                  <c:v>5.2142857142857144E-2</c:v>
                </c:pt>
                <c:pt idx="10">
                  <c:v>4.7608695652173912E-2</c:v>
                </c:pt>
                <c:pt idx="11">
                  <c:v>2.8855783649036463E-2</c:v>
                </c:pt>
                <c:pt idx="12">
                  <c:v>3.7758620689655173E-2</c:v>
                </c:pt>
                <c:pt idx="13">
                  <c:v>6.3860582135207469E-2</c:v>
                </c:pt>
                <c:pt idx="14">
                  <c:v>0.10399587690190666</c:v>
                </c:pt>
                <c:pt idx="15">
                  <c:v>1.4129032258064516</c:v>
                </c:pt>
                <c:pt idx="16">
                  <c:v>1.0045871559633028</c:v>
                </c:pt>
                <c:pt idx="17">
                  <c:v>0.91060291060291065</c:v>
                </c:pt>
                <c:pt idx="18">
                  <c:v>3.1593476585319609</c:v>
                </c:pt>
                <c:pt idx="19">
                  <c:v>9.4780429755958835</c:v>
                </c:pt>
                <c:pt idx="20">
                  <c:v>3.1767835209948401</c:v>
                </c:pt>
                <c:pt idx="21">
                  <c:v>2.8795792414838881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5-3589-44E1-B36C-6CAF780CE018}"/>
            </c:ext>
          </c:extLst>
        </c:ser>
        <c:ser>
          <c:idx val="6"/>
          <c:order val="6"/>
          <c:tx>
            <c:v>TR50426 30V/m</c:v>
          </c:tx>
          <c:spPr>
            <a:ln w="28575" cap="rnd" cmpd="sng" algn="ctr">
              <a:solidFill>
                <a:schemeClr val="accent4">
                  <a:lumMod val="60000"/>
                  <a:lumOff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Data'!$P$69:$P$90</c:f>
              <c:numCache>
                <c:formatCode>0.00</c:formatCode>
                <c:ptCount val="22"/>
                <c:pt idx="0">
                  <c:v>1.6252674903625026</c:v>
                </c:pt>
                <c:pt idx="1">
                  <c:v>1.8235801173637656E-2</c:v>
                </c:pt>
                <c:pt idx="2">
                  <c:v>0.18235801173637653</c:v>
                </c:pt>
                <c:pt idx="3">
                  <c:v>0.25758753814038876</c:v>
                </c:pt>
                <c:pt idx="4">
                  <c:v>3.6385206865024449E-7</c:v>
                </c:pt>
                <c:pt idx="5">
                  <c:v>5.7666666666666665E-2</c:v>
                </c:pt>
                <c:pt idx="6">
                  <c:v>9.1179005868188279E-2</c:v>
                </c:pt>
                <c:pt idx="7">
                  <c:v>0.25789317340497586</c:v>
                </c:pt>
                <c:pt idx="8">
                  <c:v>0.18235801173637653</c:v>
                </c:pt>
                <c:pt idx="9">
                  <c:v>9.1179005868188279E-2</c:v>
                </c:pt>
                <c:pt idx="10">
                  <c:v>9.1179005868188279E-2</c:v>
                </c:pt>
                <c:pt idx="11">
                  <c:v>5.7666666666666665E-2</c:v>
                </c:pt>
                <c:pt idx="12">
                  <c:v>0.18235801173637653</c:v>
                </c:pt>
                <c:pt idx="13">
                  <c:v>0.12762179492059178</c:v>
                </c:pt>
                <c:pt idx="14">
                  <c:v>0.50225567020800654</c:v>
                </c:pt>
                <c:pt idx="15">
                  <c:v>0.18235801173637653</c:v>
                </c:pt>
                <c:pt idx="16">
                  <c:v>0.36471602347275339</c:v>
                </c:pt>
                <c:pt idx="17">
                  <c:v>0.36471602347275339</c:v>
                </c:pt>
                <c:pt idx="18">
                  <c:v>0.40776491048424257</c:v>
                </c:pt>
                <c:pt idx="19">
                  <c:v>1.223294731452728</c:v>
                </c:pt>
                <c:pt idx="20">
                  <c:v>1.1533333333333338</c:v>
                </c:pt>
                <c:pt idx="21">
                  <c:v>1.1533333333333338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6-3589-44E1-B36C-6CAF780CE018}"/>
            </c:ext>
          </c:extLst>
        </c:ser>
        <c:ser>
          <c:idx val="7"/>
          <c:order val="7"/>
          <c:tx>
            <c:v>TR50426 10V/m</c:v>
          </c:tx>
          <c:spPr>
            <a:ln w="28575" cap="rnd" cmpd="sng" algn="ctr">
              <a:solidFill>
                <a:schemeClr val="bg2">
                  <a:lumMod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Data'!$Q$69:$Q$90</c:f>
              <c:numCache>
                <c:formatCode>0.00</c:formatCode>
                <c:ptCount val="22"/>
                <c:pt idx="0">
                  <c:v>4.8758024710875087</c:v>
                </c:pt>
                <c:pt idx="1">
                  <c:v>5.4707403520912967E-2</c:v>
                </c:pt>
                <c:pt idx="2">
                  <c:v>0.54707403520912967</c:v>
                </c:pt>
                <c:pt idx="3">
                  <c:v>0.77276261442116645</c:v>
                </c:pt>
                <c:pt idx="4">
                  <c:v>1.0915562059507336E-6</c:v>
                </c:pt>
                <c:pt idx="5">
                  <c:v>0.17300000000000001</c:v>
                </c:pt>
                <c:pt idx="6">
                  <c:v>0.27353701760456489</c:v>
                </c:pt>
                <c:pt idx="7">
                  <c:v>0.77367952021492759</c:v>
                </c:pt>
                <c:pt idx="8">
                  <c:v>0.54707403520912967</c:v>
                </c:pt>
                <c:pt idx="9">
                  <c:v>0.27353701760456489</c:v>
                </c:pt>
                <c:pt idx="10">
                  <c:v>0.27353701760456489</c:v>
                </c:pt>
                <c:pt idx="11">
                  <c:v>0.17300000000000001</c:v>
                </c:pt>
                <c:pt idx="12">
                  <c:v>0.54707403520912967</c:v>
                </c:pt>
                <c:pt idx="13">
                  <c:v>0.3828653847617754</c:v>
                </c:pt>
                <c:pt idx="14">
                  <c:v>1.5067670106240199</c:v>
                </c:pt>
                <c:pt idx="15">
                  <c:v>0.54707403520912967</c:v>
                </c:pt>
                <c:pt idx="16">
                  <c:v>1.0941480704182602</c:v>
                </c:pt>
                <c:pt idx="17">
                  <c:v>1.0941480704182602</c:v>
                </c:pt>
                <c:pt idx="18">
                  <c:v>1.2232947314527278</c:v>
                </c:pt>
                <c:pt idx="19">
                  <c:v>3.6698841943581848</c:v>
                </c:pt>
                <c:pt idx="20">
                  <c:v>3.4600000000000017</c:v>
                </c:pt>
                <c:pt idx="21">
                  <c:v>3.4600000000000017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7-3589-44E1-B36C-6CAF780CE018}"/>
            </c:ext>
          </c:extLst>
        </c:ser>
        <c:ser>
          <c:idx val="8"/>
          <c:order val="8"/>
          <c:tx>
            <c:v>TR50426 3V/m</c:v>
          </c:tx>
          <c:spPr>
            <a:ln w="28575" cap="rnd" cmpd="sng" algn="ctr">
              <a:solidFill>
                <a:schemeClr val="accent5">
                  <a:lumMod val="40000"/>
                  <a:lumOff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Data'!$R$69:$R$90</c:f>
              <c:numCache>
                <c:formatCode>0.00</c:formatCode>
                <c:ptCount val="22"/>
                <c:pt idx="0">
                  <c:v>16.252674903625028</c:v>
                </c:pt>
                <c:pt idx="1">
                  <c:v>0.18235801173637656</c:v>
                </c:pt>
                <c:pt idx="2">
                  <c:v>1.8235801173637656</c:v>
                </c:pt>
                <c:pt idx="3">
                  <c:v>2.5758753814038879</c:v>
                </c:pt>
                <c:pt idx="4">
                  <c:v>3.638520686502445E-6</c:v>
                </c:pt>
                <c:pt idx="5">
                  <c:v>0.57666666666666666</c:v>
                </c:pt>
                <c:pt idx="6">
                  <c:v>0.9117900586818829</c:v>
                </c:pt>
                <c:pt idx="7">
                  <c:v>2.5789317340497586</c:v>
                </c:pt>
                <c:pt idx="8">
                  <c:v>1.8235801173637656</c:v>
                </c:pt>
                <c:pt idx="9">
                  <c:v>0.9117900586818829</c:v>
                </c:pt>
                <c:pt idx="10">
                  <c:v>0.9117900586818829</c:v>
                </c:pt>
                <c:pt idx="11">
                  <c:v>0.57666666666666666</c:v>
                </c:pt>
                <c:pt idx="12">
                  <c:v>1.8235801173637656</c:v>
                </c:pt>
                <c:pt idx="13">
                  <c:v>1.276217949205918</c:v>
                </c:pt>
                <c:pt idx="14">
                  <c:v>5.0225567020800659</c:v>
                </c:pt>
                <c:pt idx="15">
                  <c:v>1.8235801173637656</c:v>
                </c:pt>
                <c:pt idx="16">
                  <c:v>3.6471602347275343</c:v>
                </c:pt>
                <c:pt idx="17">
                  <c:v>3.6471602347275343</c:v>
                </c:pt>
                <c:pt idx="18">
                  <c:v>4.0776491048424264</c:v>
                </c:pt>
                <c:pt idx="19">
                  <c:v>12.232947314527282</c:v>
                </c:pt>
                <c:pt idx="20">
                  <c:v>11.533333333333339</c:v>
                </c:pt>
                <c:pt idx="21">
                  <c:v>11.533333333333339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8-3589-44E1-B36C-6CAF780CE018}"/>
            </c:ext>
          </c:extLst>
        </c:ser>
        <c:ser>
          <c:idx val="9"/>
          <c:order val="9"/>
          <c:tx>
            <c:v>TR50426 1V/m</c:v>
          </c:tx>
          <c:spPr>
            <a:ln w="28575" cap="rnd" cmpd="sng" algn="ctr">
              <a:solidFill>
                <a:schemeClr val="accent2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Data'!$S$69:$S$90</c:f>
              <c:numCache>
                <c:formatCode>0.00</c:formatCode>
                <c:ptCount val="22"/>
                <c:pt idx="0">
                  <c:v>48.758024710875084</c:v>
                </c:pt>
                <c:pt idx="1">
                  <c:v>0.54707403520912967</c:v>
                </c:pt>
                <c:pt idx="2">
                  <c:v>5.4707403520912967</c:v>
                </c:pt>
                <c:pt idx="3">
                  <c:v>7.7276261442116638</c:v>
                </c:pt>
                <c:pt idx="4">
                  <c:v>1.0915562059507334E-5</c:v>
                </c:pt>
                <c:pt idx="5">
                  <c:v>1.73</c:v>
                </c:pt>
                <c:pt idx="6">
                  <c:v>2.7353701760456488</c:v>
                </c:pt>
                <c:pt idx="7">
                  <c:v>7.7367952021492759</c:v>
                </c:pt>
                <c:pt idx="8">
                  <c:v>5.4707403520912967</c:v>
                </c:pt>
                <c:pt idx="9">
                  <c:v>2.7353701760456488</c:v>
                </c:pt>
                <c:pt idx="10">
                  <c:v>2.7353701760456488</c:v>
                </c:pt>
                <c:pt idx="11">
                  <c:v>1.73</c:v>
                </c:pt>
                <c:pt idx="12">
                  <c:v>5.4707403520912967</c:v>
                </c:pt>
                <c:pt idx="13">
                  <c:v>3.8286538476177538</c:v>
                </c:pt>
                <c:pt idx="14">
                  <c:v>15.067670106240197</c:v>
                </c:pt>
                <c:pt idx="15">
                  <c:v>5.4707403520912967</c:v>
                </c:pt>
                <c:pt idx="16">
                  <c:v>10.941480704182602</c:v>
                </c:pt>
                <c:pt idx="17">
                  <c:v>10.941480704182602</c:v>
                </c:pt>
                <c:pt idx="18">
                  <c:v>12.232947314527278</c:v>
                </c:pt>
                <c:pt idx="19">
                  <c:v>36.698841943581847</c:v>
                </c:pt>
                <c:pt idx="20">
                  <c:v>34.600000000000016</c:v>
                </c:pt>
                <c:pt idx="21">
                  <c:v>34.600000000000016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9-3589-44E1-B36C-6CAF780CE018}"/>
            </c:ext>
          </c:extLst>
        </c:ser>
        <c:ser>
          <c:idx val="10"/>
          <c:order val="10"/>
          <c:tx>
            <c:v>NASA</c:v>
          </c:tx>
          <c:spPr>
            <a:ln w="28575" cap="rnd" cmpd="sng" algn="ctr">
              <a:solidFill>
                <a:srgbClr val="FFFF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Data'!$U$69:$U$90</c:f>
              <c:numCache>
                <c:formatCode>0.00</c:formatCode>
                <c:ptCount val="22"/>
                <c:pt idx="0">
                  <c:v>0.20954175661451713</c:v>
                </c:pt>
                <c:pt idx="1">
                  <c:v>3.1427434054767549E-2</c:v>
                </c:pt>
                <c:pt idx="2">
                  <c:v>0.15151515151515152</c:v>
                </c:pt>
                <c:pt idx="3">
                  <c:v>0.10701042004717838</c:v>
                </c:pt>
                <c:pt idx="4">
                  <c:v>2.0154164797665437E-5</c:v>
                </c:pt>
                <c:pt idx="5">
                  <c:v>1.7967486705502154E-2</c:v>
                </c:pt>
                <c:pt idx="6">
                  <c:v>7.5757575757575774E-2</c:v>
                </c:pt>
                <c:pt idx="7">
                  <c:v>0.21427478217774176</c:v>
                </c:pt>
                <c:pt idx="8">
                  <c:v>7.575757575757576E-2</c:v>
                </c:pt>
                <c:pt idx="9">
                  <c:v>3.2467532467532478E-2</c:v>
                </c:pt>
                <c:pt idx="10">
                  <c:v>2.964426877470357E-2</c:v>
                </c:pt>
                <c:pt idx="11">
                  <c:v>1.7967486705502154E-2</c:v>
                </c:pt>
                <c:pt idx="12">
                  <c:v>2.3510971786833857E-2</c:v>
                </c:pt>
                <c:pt idx="13">
                  <c:v>3.9763749772856453E-2</c:v>
                </c:pt>
                <c:pt idx="14">
                  <c:v>6.4754593338671645E-2</c:v>
                </c:pt>
                <c:pt idx="15">
                  <c:v>0.87976539589442826</c:v>
                </c:pt>
                <c:pt idx="16">
                  <c:v>0.62552126772310312</c:v>
                </c:pt>
                <c:pt idx="17">
                  <c:v>0.56700056700056756</c:v>
                </c:pt>
                <c:pt idx="18">
                  <c:v>1.9672152294719569</c:v>
                </c:pt>
                <c:pt idx="19">
                  <c:v>5.9016456884158721</c:v>
                </c:pt>
                <c:pt idx="20">
                  <c:v>1.9780719308809722</c:v>
                </c:pt>
                <c:pt idx="21">
                  <c:v>1.7930132263286984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A-3589-44E1-B36C-6CAF780CE0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5219328"/>
        <c:axId val="245221248"/>
      </c:scatterChart>
      <c:valAx>
        <c:axId val="2452193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Source ID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cross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221248"/>
        <c:crosses val="autoZero"/>
        <c:crossBetween val="midCat"/>
      </c:valAx>
      <c:valAx>
        <c:axId val="24522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tint val="75000"/>
                  <a:shade val="95000"/>
                  <a:satMod val="10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 (m)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tint val="75000"/>
                <a:shade val="95000"/>
                <a:satMod val="10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521932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  <a:shade val="95000"/>
          <a:satMod val="105000"/>
        </a:schemeClr>
      </a:solidFill>
      <a:prstDash val="solid"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Exclusion Zone Comparison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FRISS 30V/m</c:v>
          </c:tx>
          <c:spPr>
            <a:ln w="12700">
              <a:solidFill>
                <a:schemeClr val="accent2">
                  <a:lumMod val="60000"/>
                  <a:lumOff val="40000"/>
                </a:schemeClr>
              </a:solidFill>
              <a:prstDash val="solid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Data'!$J$69:$J$92</c:f>
              <c:numCache>
                <c:formatCode>0.00</c:formatCode>
                <c:ptCount val="24"/>
                <c:pt idx="0">
                  <c:v>1.627213311542048</c:v>
                </c:pt>
                <c:pt idx="1">
                  <c:v>1.8257633646359867E-2</c:v>
                </c:pt>
                <c:pt idx="2">
                  <c:v>0.18257633646359869</c:v>
                </c:pt>
                <c:pt idx="3">
                  <c:v>0.25789593001450956</c:v>
                </c:pt>
                <c:pt idx="4">
                  <c:v>3.6428768375089667E-7</c:v>
                </c:pt>
                <c:pt idx="5">
                  <c:v>5.7735707007422359E-2</c:v>
                </c:pt>
                <c:pt idx="6">
                  <c:v>9.1288168231799346E-2</c:v>
                </c:pt>
                <c:pt idx="7">
                  <c:v>0.25820193119521467</c:v>
                </c:pt>
                <c:pt idx="8">
                  <c:v>0.18257633646359869</c:v>
                </c:pt>
                <c:pt idx="9">
                  <c:v>9.1288168231799346E-2</c:v>
                </c:pt>
                <c:pt idx="10">
                  <c:v>9.1288168231799346E-2</c:v>
                </c:pt>
                <c:pt idx="11">
                  <c:v>5.7735707007422359E-2</c:v>
                </c:pt>
                <c:pt idx="12">
                  <c:v>0.18257633646359869</c:v>
                </c:pt>
                <c:pt idx="13">
                  <c:v>0.12777458773346759</c:v>
                </c:pt>
                <c:pt idx="14">
                  <c:v>0.50285698643837029</c:v>
                </c:pt>
                <c:pt idx="15">
                  <c:v>0.18257633646359869</c:v>
                </c:pt>
                <c:pt idx="16">
                  <c:v>0.36515267292719739</c:v>
                </c:pt>
                <c:pt idx="17">
                  <c:v>0.36515267292719739</c:v>
                </c:pt>
                <c:pt idx="18">
                  <c:v>0.40825309941548021</c:v>
                </c:pt>
                <c:pt idx="19">
                  <c:v>1.2247592982464406</c:v>
                </c:pt>
                <c:pt idx="20">
                  <c:v>1.1547141401484471</c:v>
                </c:pt>
                <c:pt idx="21">
                  <c:v>1.1547141401484471</c:v>
                </c:pt>
                <c:pt idx="22">
                  <c:v>5.7735707007422359E-2</c:v>
                </c:pt>
                <c:pt idx="23">
                  <c:v>9.1288168231799346E-2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A9D-403E-A49D-707A378DC4D1}"/>
            </c:ext>
          </c:extLst>
        </c:ser>
        <c:ser>
          <c:idx val="4"/>
          <c:order val="1"/>
          <c:tx>
            <c:v>AFMAN 91-201 HERO UNSAFE</c:v>
          </c:tx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Data'!$X$69:$X$92</c:f>
              <c:numCache>
                <c:formatCode>0.00</c:formatCode>
                <c:ptCount val="24"/>
                <c:pt idx="0">
                  <c:v>1.346096244491658</c:v>
                </c:pt>
                <c:pt idx="1">
                  <c:v>0.20188983636782673</c:v>
                </c:pt>
                <c:pt idx="2">
                  <c:v>0.97333333333333338</c:v>
                </c:pt>
                <c:pt idx="3">
                  <c:v>0.68743493838307401</c:v>
                </c:pt>
                <c:pt idx="4">
                  <c:v>2.1848122348909211E-5</c:v>
                </c:pt>
                <c:pt idx="5">
                  <c:v>0.11542313459614585</c:v>
                </c:pt>
                <c:pt idx="6">
                  <c:v>0.48666666666666669</c:v>
                </c:pt>
                <c:pt idx="7">
                  <c:v>1.3765012007098125</c:v>
                </c:pt>
                <c:pt idx="8">
                  <c:v>0.48666666666666669</c:v>
                </c:pt>
                <c:pt idx="9">
                  <c:v>0.20857142857142857</c:v>
                </c:pt>
                <c:pt idx="10">
                  <c:v>0.19043478260869565</c:v>
                </c:pt>
                <c:pt idx="11">
                  <c:v>0.11542313459614585</c:v>
                </c:pt>
                <c:pt idx="12">
                  <c:v>0.15103448275862069</c:v>
                </c:pt>
                <c:pt idx="13">
                  <c:v>0.25544232854082988</c:v>
                </c:pt>
                <c:pt idx="14">
                  <c:v>0.41598350760762665</c:v>
                </c:pt>
                <c:pt idx="15">
                  <c:v>5.6516129032258062</c:v>
                </c:pt>
                <c:pt idx="16">
                  <c:v>4.0183486238532113</c:v>
                </c:pt>
                <c:pt idx="17">
                  <c:v>3.6424116424116426</c:v>
                </c:pt>
                <c:pt idx="18">
                  <c:v>12.637390634127843</c:v>
                </c:pt>
                <c:pt idx="19">
                  <c:v>37.912171902383534</c:v>
                </c:pt>
                <c:pt idx="20">
                  <c:v>12.70713408397936</c:v>
                </c:pt>
                <c:pt idx="21">
                  <c:v>11.518316965935552</c:v>
                </c:pt>
                <c:pt idx="22">
                  <c:v>0.11542313459614585</c:v>
                </c:pt>
                <c:pt idx="23">
                  <c:v>0.22346938775510203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A9D-403E-A49D-707A378DC4D1}"/>
            </c:ext>
          </c:extLst>
        </c:ser>
        <c:ser>
          <c:idx val="5"/>
          <c:order val="2"/>
          <c:tx>
            <c:v>AFMAN HERO SUSCEPTIBLE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Data'!$AA$69:$AA$92</c:f>
              <c:numCache>
                <c:formatCode>0.00</c:formatCode>
                <c:ptCount val="24"/>
                <c:pt idx="0">
                  <c:v>0.3365240611229145</c:v>
                </c:pt>
                <c:pt idx="1">
                  <c:v>5.0472459091956683E-2</c:v>
                </c:pt>
                <c:pt idx="2">
                  <c:v>0.24333333333333335</c:v>
                </c:pt>
                <c:pt idx="3">
                  <c:v>0.1718587345957685</c:v>
                </c:pt>
                <c:pt idx="4">
                  <c:v>5.4670187430147259E-6</c:v>
                </c:pt>
                <c:pt idx="5">
                  <c:v>2.8855783649036463E-2</c:v>
                </c:pt>
                <c:pt idx="6">
                  <c:v>0.12166666666666667</c:v>
                </c:pt>
                <c:pt idx="7">
                  <c:v>0.34412530017745313</c:v>
                </c:pt>
                <c:pt idx="8">
                  <c:v>0.12166666666666667</c:v>
                </c:pt>
                <c:pt idx="9">
                  <c:v>5.2142857142857144E-2</c:v>
                </c:pt>
                <c:pt idx="10">
                  <c:v>4.7608695652173912E-2</c:v>
                </c:pt>
                <c:pt idx="11">
                  <c:v>2.8855783649036463E-2</c:v>
                </c:pt>
                <c:pt idx="12">
                  <c:v>3.7758620689655173E-2</c:v>
                </c:pt>
                <c:pt idx="13">
                  <c:v>6.3860582135207469E-2</c:v>
                </c:pt>
                <c:pt idx="14">
                  <c:v>0.10399587690190666</c:v>
                </c:pt>
                <c:pt idx="15">
                  <c:v>1.4129032258064516</c:v>
                </c:pt>
                <c:pt idx="16">
                  <c:v>1.0045871559633028</c:v>
                </c:pt>
                <c:pt idx="17">
                  <c:v>0.91060291060291065</c:v>
                </c:pt>
                <c:pt idx="18">
                  <c:v>3.1593476585319609</c:v>
                </c:pt>
                <c:pt idx="19">
                  <c:v>9.4780429755958835</c:v>
                </c:pt>
                <c:pt idx="20">
                  <c:v>3.1767835209948401</c:v>
                </c:pt>
                <c:pt idx="21">
                  <c:v>2.8795792414838881</c:v>
                </c:pt>
                <c:pt idx="22">
                  <c:v>2.8855783649036463E-2</c:v>
                </c:pt>
                <c:pt idx="23">
                  <c:v>5.5867346938775507E-2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A9D-403E-A49D-707A378DC4D1}"/>
            </c:ext>
          </c:extLst>
        </c:ser>
        <c:ser>
          <c:idx val="6"/>
          <c:order val="3"/>
          <c:tx>
            <c:v>TR50426 30V/m</c:v>
          </c:tx>
          <c:spPr>
            <a:ln>
              <a:solidFill>
                <a:schemeClr val="accent4">
                  <a:lumMod val="60000"/>
                  <a:lumOff val="4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Data'!$P$69:$P$92</c:f>
              <c:numCache>
                <c:formatCode>0.00</c:formatCode>
                <c:ptCount val="24"/>
                <c:pt idx="0">
                  <c:v>1.6252674903625026</c:v>
                </c:pt>
                <c:pt idx="1">
                  <c:v>1.8235801173637656E-2</c:v>
                </c:pt>
                <c:pt idx="2">
                  <c:v>0.18235801173637653</c:v>
                </c:pt>
                <c:pt idx="3">
                  <c:v>0.25758753814038876</c:v>
                </c:pt>
                <c:pt idx="4">
                  <c:v>3.6385206865024449E-7</c:v>
                </c:pt>
                <c:pt idx="5">
                  <c:v>5.7666666666666665E-2</c:v>
                </c:pt>
                <c:pt idx="6">
                  <c:v>9.1179005868188279E-2</c:v>
                </c:pt>
                <c:pt idx="7">
                  <c:v>0.25789317340497586</c:v>
                </c:pt>
                <c:pt idx="8">
                  <c:v>0.18235801173637653</c:v>
                </c:pt>
                <c:pt idx="9">
                  <c:v>9.1179005868188279E-2</c:v>
                </c:pt>
                <c:pt idx="10">
                  <c:v>9.1179005868188279E-2</c:v>
                </c:pt>
                <c:pt idx="11">
                  <c:v>5.7666666666666665E-2</c:v>
                </c:pt>
                <c:pt idx="12">
                  <c:v>0.18235801173637653</c:v>
                </c:pt>
                <c:pt idx="13">
                  <c:v>0.12762179492059178</c:v>
                </c:pt>
                <c:pt idx="14">
                  <c:v>0.50225567020800654</c:v>
                </c:pt>
                <c:pt idx="15">
                  <c:v>0.18235801173637653</c:v>
                </c:pt>
                <c:pt idx="16">
                  <c:v>0.36471602347275339</c:v>
                </c:pt>
                <c:pt idx="17">
                  <c:v>0.36471602347275339</c:v>
                </c:pt>
                <c:pt idx="18">
                  <c:v>0.40776491048424257</c:v>
                </c:pt>
                <c:pt idx="19">
                  <c:v>1.223294731452728</c:v>
                </c:pt>
                <c:pt idx="20">
                  <c:v>1.1533333333333338</c:v>
                </c:pt>
                <c:pt idx="21">
                  <c:v>1.1533333333333338</c:v>
                </c:pt>
                <c:pt idx="22">
                  <c:v>5.7666666666666665E-2</c:v>
                </c:pt>
                <c:pt idx="23">
                  <c:v>9.1179005868188279E-2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FA9D-403E-A49D-707A378DC4D1}"/>
            </c:ext>
          </c:extLst>
        </c:ser>
        <c:ser>
          <c:idx val="1"/>
          <c:order val="4"/>
          <c:tx>
            <c:v>NASA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Data'!$U$69:$U$92</c:f>
              <c:numCache>
                <c:formatCode>0.00</c:formatCode>
                <c:ptCount val="24"/>
                <c:pt idx="0">
                  <c:v>0.20954175661451713</c:v>
                </c:pt>
                <c:pt idx="1">
                  <c:v>3.1427434054767549E-2</c:v>
                </c:pt>
                <c:pt idx="2">
                  <c:v>0.15151515151515152</c:v>
                </c:pt>
                <c:pt idx="3">
                  <c:v>0.10701042004717838</c:v>
                </c:pt>
                <c:pt idx="4">
                  <c:v>2.0154164797665437E-5</c:v>
                </c:pt>
                <c:pt idx="5">
                  <c:v>1.7967486705502154E-2</c:v>
                </c:pt>
                <c:pt idx="6">
                  <c:v>7.5757575757575774E-2</c:v>
                </c:pt>
                <c:pt idx="7">
                  <c:v>0.21427478217774176</c:v>
                </c:pt>
                <c:pt idx="8">
                  <c:v>7.575757575757576E-2</c:v>
                </c:pt>
                <c:pt idx="9">
                  <c:v>3.2467532467532478E-2</c:v>
                </c:pt>
                <c:pt idx="10">
                  <c:v>2.964426877470357E-2</c:v>
                </c:pt>
                <c:pt idx="11">
                  <c:v>1.7967486705502154E-2</c:v>
                </c:pt>
                <c:pt idx="12">
                  <c:v>2.3510971786833857E-2</c:v>
                </c:pt>
                <c:pt idx="13">
                  <c:v>3.9763749772856453E-2</c:v>
                </c:pt>
                <c:pt idx="14">
                  <c:v>6.4754593338671645E-2</c:v>
                </c:pt>
                <c:pt idx="15">
                  <c:v>0.87976539589442826</c:v>
                </c:pt>
                <c:pt idx="16">
                  <c:v>0.62552126772310312</c:v>
                </c:pt>
                <c:pt idx="17">
                  <c:v>0.56700056700056756</c:v>
                </c:pt>
                <c:pt idx="18">
                  <c:v>1.9672152294719569</c:v>
                </c:pt>
                <c:pt idx="19">
                  <c:v>5.9016456884158721</c:v>
                </c:pt>
                <c:pt idx="20">
                  <c:v>1.9780719308809722</c:v>
                </c:pt>
                <c:pt idx="21">
                  <c:v>1.7930132263286984</c:v>
                </c:pt>
                <c:pt idx="22">
                  <c:v>1.7967486705502154E-2</c:v>
                </c:pt>
                <c:pt idx="23">
                  <c:v>3.4786641929499082E-2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FA9D-403E-A49D-707A378DC4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426624"/>
        <c:axId val="246445184"/>
      </c:scatterChart>
      <c:valAx>
        <c:axId val="246426624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Source ID</a:t>
                </a:r>
              </a:p>
            </c:rich>
          </c:tx>
          <c:layout/>
          <c:overlay val="0"/>
        </c:title>
        <c:numFmt formatCode="General" sourceLinked="1"/>
        <c:majorTickMark val="none"/>
        <c:minorTickMark val="cross"/>
        <c:tickLblPos val="nextTo"/>
        <c:crossAx val="246445184"/>
        <c:crosses val="autoZero"/>
        <c:crossBetween val="midCat"/>
      </c:valAx>
      <c:valAx>
        <c:axId val="2464451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layout/>
          <c:overlay val="0"/>
        </c:title>
        <c:numFmt formatCode="0.00" sourceLinked="1"/>
        <c:majorTickMark val="none"/>
        <c:minorTickMark val="none"/>
        <c:tickLblPos val="nextTo"/>
        <c:crossAx val="2464266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Exclusion Zone Comparison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FRISS 10V/m</c:v>
          </c:tx>
          <c:spPr>
            <a:ln w="12700">
              <a:solidFill>
                <a:srgbClr val="00B0F0"/>
              </a:solidFill>
              <a:prstDash val="solid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Data'!$K$69:$K$92</c:f>
              <c:numCache>
                <c:formatCode>0.00</c:formatCode>
                <c:ptCount val="24"/>
                <c:pt idx="0">
                  <c:v>4.8816399346261434</c:v>
                </c:pt>
                <c:pt idx="1">
                  <c:v>5.4772900939079598E-2</c:v>
                </c:pt>
                <c:pt idx="2">
                  <c:v>0.54772900939079605</c:v>
                </c:pt>
                <c:pt idx="3">
                  <c:v>0.77368779004352872</c:v>
                </c:pt>
                <c:pt idx="4">
                  <c:v>1.0928630512526899E-6</c:v>
                </c:pt>
                <c:pt idx="5">
                  <c:v>0.17320712102226707</c:v>
                </c:pt>
                <c:pt idx="6">
                  <c:v>0.27386450469539803</c:v>
                </c:pt>
                <c:pt idx="7">
                  <c:v>0.77460579358564408</c:v>
                </c:pt>
                <c:pt idx="8">
                  <c:v>0.54772900939079605</c:v>
                </c:pt>
                <c:pt idx="9">
                  <c:v>0.27386450469539803</c:v>
                </c:pt>
                <c:pt idx="10">
                  <c:v>0.27386450469539803</c:v>
                </c:pt>
                <c:pt idx="11">
                  <c:v>0.17320712102226707</c:v>
                </c:pt>
                <c:pt idx="12">
                  <c:v>0.54772900939079605</c:v>
                </c:pt>
                <c:pt idx="13">
                  <c:v>0.38332376320040273</c:v>
                </c:pt>
                <c:pt idx="14">
                  <c:v>1.5085709593151109</c:v>
                </c:pt>
                <c:pt idx="15">
                  <c:v>0.54772900939079605</c:v>
                </c:pt>
                <c:pt idx="16">
                  <c:v>1.0954580187815921</c:v>
                </c:pt>
                <c:pt idx="17">
                  <c:v>1.0954580187815921</c:v>
                </c:pt>
                <c:pt idx="18">
                  <c:v>1.2247592982464406</c:v>
                </c:pt>
                <c:pt idx="19">
                  <c:v>3.6742778947393218</c:v>
                </c:pt>
                <c:pt idx="20">
                  <c:v>3.4641424204453415</c:v>
                </c:pt>
                <c:pt idx="21">
                  <c:v>3.4641424204453415</c:v>
                </c:pt>
                <c:pt idx="22">
                  <c:v>0.17320712102226707</c:v>
                </c:pt>
                <c:pt idx="23">
                  <c:v>0.27386450469539803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7FA-478F-A0A6-D58229D54574}"/>
            </c:ext>
          </c:extLst>
        </c:ser>
        <c:ser>
          <c:idx val="4"/>
          <c:order val="1"/>
          <c:tx>
            <c:v>AFMAN 91-201 HERO UNSAFE</c:v>
          </c:tx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Data'!$X$69:$X$92</c:f>
              <c:numCache>
                <c:formatCode>0.00</c:formatCode>
                <c:ptCount val="24"/>
                <c:pt idx="0">
                  <c:v>1.346096244491658</c:v>
                </c:pt>
                <c:pt idx="1">
                  <c:v>0.20188983636782673</c:v>
                </c:pt>
                <c:pt idx="2">
                  <c:v>0.97333333333333338</c:v>
                </c:pt>
                <c:pt idx="3">
                  <c:v>0.68743493838307401</c:v>
                </c:pt>
                <c:pt idx="4">
                  <c:v>2.1848122348909211E-5</c:v>
                </c:pt>
                <c:pt idx="5">
                  <c:v>0.11542313459614585</c:v>
                </c:pt>
                <c:pt idx="6">
                  <c:v>0.48666666666666669</c:v>
                </c:pt>
                <c:pt idx="7">
                  <c:v>1.3765012007098125</c:v>
                </c:pt>
                <c:pt idx="8">
                  <c:v>0.48666666666666669</c:v>
                </c:pt>
                <c:pt idx="9">
                  <c:v>0.20857142857142857</c:v>
                </c:pt>
                <c:pt idx="10">
                  <c:v>0.19043478260869565</c:v>
                </c:pt>
                <c:pt idx="11">
                  <c:v>0.11542313459614585</c:v>
                </c:pt>
                <c:pt idx="12">
                  <c:v>0.15103448275862069</c:v>
                </c:pt>
                <c:pt idx="13">
                  <c:v>0.25544232854082988</c:v>
                </c:pt>
                <c:pt idx="14">
                  <c:v>0.41598350760762665</c:v>
                </c:pt>
                <c:pt idx="15">
                  <c:v>5.6516129032258062</c:v>
                </c:pt>
                <c:pt idx="16">
                  <c:v>4.0183486238532113</c:v>
                </c:pt>
                <c:pt idx="17">
                  <c:v>3.6424116424116426</c:v>
                </c:pt>
                <c:pt idx="18">
                  <c:v>12.637390634127843</c:v>
                </c:pt>
                <c:pt idx="19">
                  <c:v>37.912171902383534</c:v>
                </c:pt>
                <c:pt idx="20">
                  <c:v>12.70713408397936</c:v>
                </c:pt>
                <c:pt idx="21">
                  <c:v>11.518316965935552</c:v>
                </c:pt>
                <c:pt idx="22">
                  <c:v>0.11542313459614585</c:v>
                </c:pt>
                <c:pt idx="23">
                  <c:v>0.22346938775510203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7FA-478F-A0A6-D58229D54574}"/>
            </c:ext>
          </c:extLst>
        </c:ser>
        <c:ser>
          <c:idx val="5"/>
          <c:order val="2"/>
          <c:tx>
            <c:v>AFMAN HERO SUSCEPTIBLE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Data'!$AA$69:$AA$92</c:f>
              <c:numCache>
                <c:formatCode>0.00</c:formatCode>
                <c:ptCount val="24"/>
                <c:pt idx="0">
                  <c:v>0.3365240611229145</c:v>
                </c:pt>
                <c:pt idx="1">
                  <c:v>5.0472459091956683E-2</c:v>
                </c:pt>
                <c:pt idx="2">
                  <c:v>0.24333333333333335</c:v>
                </c:pt>
                <c:pt idx="3">
                  <c:v>0.1718587345957685</c:v>
                </c:pt>
                <c:pt idx="4">
                  <c:v>5.4670187430147259E-6</c:v>
                </c:pt>
                <c:pt idx="5">
                  <c:v>2.8855783649036463E-2</c:v>
                </c:pt>
                <c:pt idx="6">
                  <c:v>0.12166666666666667</c:v>
                </c:pt>
                <c:pt idx="7">
                  <c:v>0.34412530017745313</c:v>
                </c:pt>
                <c:pt idx="8">
                  <c:v>0.12166666666666667</c:v>
                </c:pt>
                <c:pt idx="9">
                  <c:v>5.2142857142857144E-2</c:v>
                </c:pt>
                <c:pt idx="10">
                  <c:v>4.7608695652173912E-2</c:v>
                </c:pt>
                <c:pt idx="11">
                  <c:v>2.8855783649036463E-2</c:v>
                </c:pt>
                <c:pt idx="12">
                  <c:v>3.7758620689655173E-2</c:v>
                </c:pt>
                <c:pt idx="13">
                  <c:v>6.3860582135207469E-2</c:v>
                </c:pt>
                <c:pt idx="14">
                  <c:v>0.10399587690190666</c:v>
                </c:pt>
                <c:pt idx="15">
                  <c:v>1.4129032258064516</c:v>
                </c:pt>
                <c:pt idx="16">
                  <c:v>1.0045871559633028</c:v>
                </c:pt>
                <c:pt idx="17">
                  <c:v>0.91060291060291065</c:v>
                </c:pt>
                <c:pt idx="18">
                  <c:v>3.1593476585319609</c:v>
                </c:pt>
                <c:pt idx="19">
                  <c:v>9.4780429755958835</c:v>
                </c:pt>
                <c:pt idx="20">
                  <c:v>3.1767835209948401</c:v>
                </c:pt>
                <c:pt idx="21">
                  <c:v>2.8795792414838881</c:v>
                </c:pt>
                <c:pt idx="22">
                  <c:v>2.8855783649036463E-2</c:v>
                </c:pt>
                <c:pt idx="23">
                  <c:v>5.5867346938775507E-2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FA-478F-A0A6-D58229D54574}"/>
            </c:ext>
          </c:extLst>
        </c:ser>
        <c:ser>
          <c:idx val="7"/>
          <c:order val="3"/>
          <c:tx>
            <c:v>TR50426 10V/m</c:v>
          </c:tx>
          <c:spPr>
            <a:ln>
              <a:solidFill>
                <a:schemeClr val="bg2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Data'!$Q$69:$Q$92</c:f>
              <c:numCache>
                <c:formatCode>0.00</c:formatCode>
                <c:ptCount val="24"/>
                <c:pt idx="0">
                  <c:v>4.8758024710875087</c:v>
                </c:pt>
                <c:pt idx="1">
                  <c:v>5.4707403520912967E-2</c:v>
                </c:pt>
                <c:pt idx="2">
                  <c:v>0.54707403520912967</c:v>
                </c:pt>
                <c:pt idx="3">
                  <c:v>0.77276261442116645</c:v>
                </c:pt>
                <c:pt idx="4">
                  <c:v>1.0915562059507336E-6</c:v>
                </c:pt>
                <c:pt idx="5">
                  <c:v>0.17300000000000001</c:v>
                </c:pt>
                <c:pt idx="6">
                  <c:v>0.27353701760456489</c:v>
                </c:pt>
                <c:pt idx="7">
                  <c:v>0.77367952021492759</c:v>
                </c:pt>
                <c:pt idx="8">
                  <c:v>0.54707403520912967</c:v>
                </c:pt>
                <c:pt idx="9">
                  <c:v>0.27353701760456489</c:v>
                </c:pt>
                <c:pt idx="10">
                  <c:v>0.27353701760456489</c:v>
                </c:pt>
                <c:pt idx="11">
                  <c:v>0.17300000000000001</c:v>
                </c:pt>
                <c:pt idx="12">
                  <c:v>0.54707403520912967</c:v>
                </c:pt>
                <c:pt idx="13">
                  <c:v>0.3828653847617754</c:v>
                </c:pt>
                <c:pt idx="14">
                  <c:v>1.5067670106240199</c:v>
                </c:pt>
                <c:pt idx="15">
                  <c:v>0.54707403520912967</c:v>
                </c:pt>
                <c:pt idx="16">
                  <c:v>1.0941480704182602</c:v>
                </c:pt>
                <c:pt idx="17">
                  <c:v>1.0941480704182602</c:v>
                </c:pt>
                <c:pt idx="18">
                  <c:v>1.2232947314527278</c:v>
                </c:pt>
                <c:pt idx="19">
                  <c:v>3.6698841943581848</c:v>
                </c:pt>
                <c:pt idx="20">
                  <c:v>3.4600000000000017</c:v>
                </c:pt>
                <c:pt idx="21">
                  <c:v>3.4600000000000017</c:v>
                </c:pt>
                <c:pt idx="22">
                  <c:v>0.17300000000000001</c:v>
                </c:pt>
                <c:pt idx="23">
                  <c:v>0.27353701760456489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7FA-478F-A0A6-D58229D54574}"/>
            </c:ext>
          </c:extLst>
        </c:ser>
        <c:ser>
          <c:idx val="0"/>
          <c:order val="4"/>
          <c:tx>
            <c:v>Nasa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Data'!$U$69:$U$92</c:f>
              <c:numCache>
                <c:formatCode>0.00</c:formatCode>
                <c:ptCount val="24"/>
                <c:pt idx="0">
                  <c:v>0.20954175661451713</c:v>
                </c:pt>
                <c:pt idx="1">
                  <c:v>3.1427434054767549E-2</c:v>
                </c:pt>
                <c:pt idx="2">
                  <c:v>0.15151515151515152</c:v>
                </c:pt>
                <c:pt idx="3">
                  <c:v>0.10701042004717838</c:v>
                </c:pt>
                <c:pt idx="4">
                  <c:v>2.0154164797665437E-5</c:v>
                </c:pt>
                <c:pt idx="5">
                  <c:v>1.7967486705502154E-2</c:v>
                </c:pt>
                <c:pt idx="6">
                  <c:v>7.5757575757575774E-2</c:v>
                </c:pt>
                <c:pt idx="7">
                  <c:v>0.21427478217774176</c:v>
                </c:pt>
                <c:pt idx="8">
                  <c:v>7.575757575757576E-2</c:v>
                </c:pt>
                <c:pt idx="9">
                  <c:v>3.2467532467532478E-2</c:v>
                </c:pt>
                <c:pt idx="10">
                  <c:v>2.964426877470357E-2</c:v>
                </c:pt>
                <c:pt idx="11">
                  <c:v>1.7967486705502154E-2</c:v>
                </c:pt>
                <c:pt idx="12">
                  <c:v>2.3510971786833857E-2</c:v>
                </c:pt>
                <c:pt idx="13">
                  <c:v>3.9763749772856453E-2</c:v>
                </c:pt>
                <c:pt idx="14">
                  <c:v>6.4754593338671645E-2</c:v>
                </c:pt>
                <c:pt idx="15">
                  <c:v>0.87976539589442826</c:v>
                </c:pt>
                <c:pt idx="16">
                  <c:v>0.62552126772310312</c:v>
                </c:pt>
                <c:pt idx="17">
                  <c:v>0.56700056700056756</c:v>
                </c:pt>
                <c:pt idx="18">
                  <c:v>1.9672152294719569</c:v>
                </c:pt>
                <c:pt idx="19">
                  <c:v>5.9016456884158721</c:v>
                </c:pt>
                <c:pt idx="20">
                  <c:v>1.9780719308809722</c:v>
                </c:pt>
                <c:pt idx="21">
                  <c:v>1.7930132263286984</c:v>
                </c:pt>
                <c:pt idx="22">
                  <c:v>1.7967486705502154E-2</c:v>
                </c:pt>
                <c:pt idx="23">
                  <c:v>3.4786641929499082E-2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97FA-478F-A0A6-D58229D545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59104"/>
        <c:axId val="246985856"/>
      </c:scatterChart>
      <c:valAx>
        <c:axId val="246959104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Source ID</a:t>
                </a:r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crossAx val="246985856"/>
        <c:crosses val="autoZero"/>
        <c:crossBetween val="midCat"/>
      </c:valAx>
      <c:valAx>
        <c:axId val="2469858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4695910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Exclusion Zone Comparison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3"/>
          <c:order val="0"/>
          <c:tx>
            <c:v>FRISS 1V/m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Data'!$M$69:$M$92</c:f>
              <c:numCache>
                <c:formatCode>0.00</c:formatCode>
                <c:ptCount val="24"/>
                <c:pt idx="0">
                  <c:v>48.816399346261434</c:v>
                </c:pt>
                <c:pt idx="1">
                  <c:v>0.54772900939079605</c:v>
                </c:pt>
                <c:pt idx="2">
                  <c:v>5.4772900939079605</c:v>
                </c:pt>
                <c:pt idx="3">
                  <c:v>7.736877900435287</c:v>
                </c:pt>
                <c:pt idx="4">
                  <c:v>1.09286305125269E-5</c:v>
                </c:pt>
                <c:pt idx="5">
                  <c:v>1.7320712102226707</c:v>
                </c:pt>
                <c:pt idx="6">
                  <c:v>2.7386450469539803</c:v>
                </c:pt>
                <c:pt idx="7">
                  <c:v>7.7460579358564408</c:v>
                </c:pt>
                <c:pt idx="8">
                  <c:v>5.4772900939079605</c:v>
                </c:pt>
                <c:pt idx="9">
                  <c:v>2.7386450469539803</c:v>
                </c:pt>
                <c:pt idx="10">
                  <c:v>2.7386450469539803</c:v>
                </c:pt>
                <c:pt idx="11">
                  <c:v>1.7320712102226707</c:v>
                </c:pt>
                <c:pt idx="12">
                  <c:v>5.4772900939079605</c:v>
                </c:pt>
                <c:pt idx="13">
                  <c:v>3.8332376320040278</c:v>
                </c:pt>
                <c:pt idx="14">
                  <c:v>15.08570959315111</c:v>
                </c:pt>
                <c:pt idx="15">
                  <c:v>5.4772900939079605</c:v>
                </c:pt>
                <c:pt idx="16">
                  <c:v>10.954580187815921</c:v>
                </c:pt>
                <c:pt idx="17">
                  <c:v>10.954580187815921</c:v>
                </c:pt>
                <c:pt idx="18">
                  <c:v>12.247592982464406</c:v>
                </c:pt>
                <c:pt idx="19">
                  <c:v>36.742778947393219</c:v>
                </c:pt>
                <c:pt idx="20">
                  <c:v>34.641424204453415</c:v>
                </c:pt>
                <c:pt idx="21">
                  <c:v>34.641424204453415</c:v>
                </c:pt>
                <c:pt idx="22">
                  <c:v>1.7320712102226707</c:v>
                </c:pt>
                <c:pt idx="23">
                  <c:v>2.7386450469539803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023-42A9-A341-A503E43D6110}"/>
            </c:ext>
          </c:extLst>
        </c:ser>
        <c:ser>
          <c:idx val="4"/>
          <c:order val="1"/>
          <c:tx>
            <c:v>AFMAN 91-201 HERO UNSAFE</c:v>
          </c:tx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Data'!$X$69:$X$92</c:f>
              <c:numCache>
                <c:formatCode>0.00</c:formatCode>
                <c:ptCount val="24"/>
                <c:pt idx="0">
                  <c:v>1.346096244491658</c:v>
                </c:pt>
                <c:pt idx="1">
                  <c:v>0.20188983636782673</c:v>
                </c:pt>
                <c:pt idx="2">
                  <c:v>0.97333333333333338</c:v>
                </c:pt>
                <c:pt idx="3">
                  <c:v>0.68743493838307401</c:v>
                </c:pt>
                <c:pt idx="4">
                  <c:v>2.1848122348909211E-5</c:v>
                </c:pt>
                <c:pt idx="5">
                  <c:v>0.11542313459614585</c:v>
                </c:pt>
                <c:pt idx="6">
                  <c:v>0.48666666666666669</c:v>
                </c:pt>
                <c:pt idx="7">
                  <c:v>1.3765012007098125</c:v>
                </c:pt>
                <c:pt idx="8">
                  <c:v>0.48666666666666669</c:v>
                </c:pt>
                <c:pt idx="9">
                  <c:v>0.20857142857142857</c:v>
                </c:pt>
                <c:pt idx="10">
                  <c:v>0.19043478260869565</c:v>
                </c:pt>
                <c:pt idx="11">
                  <c:v>0.11542313459614585</c:v>
                </c:pt>
                <c:pt idx="12">
                  <c:v>0.15103448275862069</c:v>
                </c:pt>
                <c:pt idx="13">
                  <c:v>0.25544232854082988</c:v>
                </c:pt>
                <c:pt idx="14">
                  <c:v>0.41598350760762665</c:v>
                </c:pt>
                <c:pt idx="15">
                  <c:v>5.6516129032258062</c:v>
                </c:pt>
                <c:pt idx="16">
                  <c:v>4.0183486238532113</c:v>
                </c:pt>
                <c:pt idx="17">
                  <c:v>3.6424116424116426</c:v>
                </c:pt>
                <c:pt idx="18">
                  <c:v>12.637390634127843</c:v>
                </c:pt>
                <c:pt idx="19">
                  <c:v>37.912171902383534</c:v>
                </c:pt>
                <c:pt idx="20">
                  <c:v>12.70713408397936</c:v>
                </c:pt>
                <c:pt idx="21">
                  <c:v>11.518316965935552</c:v>
                </c:pt>
                <c:pt idx="22">
                  <c:v>0.11542313459614585</c:v>
                </c:pt>
                <c:pt idx="23">
                  <c:v>0.22346938775510203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023-42A9-A341-A503E43D6110}"/>
            </c:ext>
          </c:extLst>
        </c:ser>
        <c:ser>
          <c:idx val="5"/>
          <c:order val="2"/>
          <c:tx>
            <c:v>AFMAN HERO SUSCEPTIBLE</c:v>
          </c:tx>
          <c:spPr>
            <a:ln>
              <a:solidFill>
                <a:schemeClr val="accent3">
                  <a:lumMod val="75000"/>
                </a:schemeClr>
              </a:solidFill>
              <a:prstDash val="dash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Data'!$AA$69:$AA$92</c:f>
              <c:numCache>
                <c:formatCode>0.00</c:formatCode>
                <c:ptCount val="24"/>
                <c:pt idx="0">
                  <c:v>0.3365240611229145</c:v>
                </c:pt>
                <c:pt idx="1">
                  <c:v>5.0472459091956683E-2</c:v>
                </c:pt>
                <c:pt idx="2">
                  <c:v>0.24333333333333335</c:v>
                </c:pt>
                <c:pt idx="3">
                  <c:v>0.1718587345957685</c:v>
                </c:pt>
                <c:pt idx="4">
                  <c:v>5.4670187430147259E-6</c:v>
                </c:pt>
                <c:pt idx="5">
                  <c:v>2.8855783649036463E-2</c:v>
                </c:pt>
                <c:pt idx="6">
                  <c:v>0.12166666666666667</c:v>
                </c:pt>
                <c:pt idx="7">
                  <c:v>0.34412530017745313</c:v>
                </c:pt>
                <c:pt idx="8">
                  <c:v>0.12166666666666667</c:v>
                </c:pt>
                <c:pt idx="9">
                  <c:v>5.2142857142857144E-2</c:v>
                </c:pt>
                <c:pt idx="10">
                  <c:v>4.7608695652173912E-2</c:v>
                </c:pt>
                <c:pt idx="11">
                  <c:v>2.8855783649036463E-2</c:v>
                </c:pt>
                <c:pt idx="12">
                  <c:v>3.7758620689655173E-2</c:v>
                </c:pt>
                <c:pt idx="13">
                  <c:v>6.3860582135207469E-2</c:v>
                </c:pt>
                <c:pt idx="14">
                  <c:v>0.10399587690190666</c:v>
                </c:pt>
                <c:pt idx="15">
                  <c:v>1.4129032258064516</c:v>
                </c:pt>
                <c:pt idx="16">
                  <c:v>1.0045871559633028</c:v>
                </c:pt>
                <c:pt idx="17">
                  <c:v>0.91060291060291065</c:v>
                </c:pt>
                <c:pt idx="18">
                  <c:v>3.1593476585319609</c:v>
                </c:pt>
                <c:pt idx="19">
                  <c:v>9.4780429755958835</c:v>
                </c:pt>
                <c:pt idx="20">
                  <c:v>3.1767835209948401</c:v>
                </c:pt>
                <c:pt idx="21">
                  <c:v>2.8795792414838881</c:v>
                </c:pt>
                <c:pt idx="22">
                  <c:v>2.8855783649036463E-2</c:v>
                </c:pt>
                <c:pt idx="23">
                  <c:v>5.5867346938775507E-2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023-42A9-A341-A503E43D6110}"/>
            </c:ext>
          </c:extLst>
        </c:ser>
        <c:ser>
          <c:idx val="9"/>
          <c:order val="3"/>
          <c:tx>
            <c:v>TR50426 1V/m</c:v>
          </c:tx>
          <c:spPr>
            <a:ln>
              <a:solidFill>
                <a:schemeClr val="accent2">
                  <a:lumMod val="5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Data'!$S$69:$S$92</c:f>
              <c:numCache>
                <c:formatCode>0.00</c:formatCode>
                <c:ptCount val="24"/>
                <c:pt idx="0">
                  <c:v>48.758024710875084</c:v>
                </c:pt>
                <c:pt idx="1">
                  <c:v>0.54707403520912967</c:v>
                </c:pt>
                <c:pt idx="2">
                  <c:v>5.4707403520912967</c:v>
                </c:pt>
                <c:pt idx="3">
                  <c:v>7.7276261442116638</c:v>
                </c:pt>
                <c:pt idx="4">
                  <c:v>1.0915562059507334E-5</c:v>
                </c:pt>
                <c:pt idx="5">
                  <c:v>1.73</c:v>
                </c:pt>
                <c:pt idx="6">
                  <c:v>2.7353701760456488</c:v>
                </c:pt>
                <c:pt idx="7">
                  <c:v>7.7367952021492759</c:v>
                </c:pt>
                <c:pt idx="8">
                  <c:v>5.4707403520912967</c:v>
                </c:pt>
                <c:pt idx="9">
                  <c:v>2.7353701760456488</c:v>
                </c:pt>
                <c:pt idx="10">
                  <c:v>2.7353701760456488</c:v>
                </c:pt>
                <c:pt idx="11">
                  <c:v>1.73</c:v>
                </c:pt>
                <c:pt idx="12">
                  <c:v>5.4707403520912967</c:v>
                </c:pt>
                <c:pt idx="13">
                  <c:v>3.8286538476177538</c:v>
                </c:pt>
                <c:pt idx="14">
                  <c:v>15.067670106240197</c:v>
                </c:pt>
                <c:pt idx="15">
                  <c:v>5.4707403520912967</c:v>
                </c:pt>
                <c:pt idx="16">
                  <c:v>10.941480704182602</c:v>
                </c:pt>
                <c:pt idx="17">
                  <c:v>10.941480704182602</c:v>
                </c:pt>
                <c:pt idx="18">
                  <c:v>12.232947314527278</c:v>
                </c:pt>
                <c:pt idx="19">
                  <c:v>36.698841943581847</c:v>
                </c:pt>
                <c:pt idx="20">
                  <c:v>34.600000000000016</c:v>
                </c:pt>
                <c:pt idx="21">
                  <c:v>34.600000000000016</c:v>
                </c:pt>
                <c:pt idx="22">
                  <c:v>1.73</c:v>
                </c:pt>
                <c:pt idx="23">
                  <c:v>2.7353701760456488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023-42A9-A341-A503E43D6110}"/>
            </c:ext>
          </c:extLst>
        </c:ser>
        <c:ser>
          <c:idx val="0"/>
          <c:order val="4"/>
          <c:tx>
            <c:v>NASA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'Transmitter Data'!$A$69:$A$90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'Transmitter Data'!$U$69:$U$90</c:f>
              <c:numCache>
                <c:formatCode>0.00</c:formatCode>
                <c:ptCount val="22"/>
                <c:pt idx="0">
                  <c:v>0.20954175661451713</c:v>
                </c:pt>
                <c:pt idx="1">
                  <c:v>3.1427434054767549E-2</c:v>
                </c:pt>
                <c:pt idx="2">
                  <c:v>0.15151515151515152</c:v>
                </c:pt>
                <c:pt idx="3">
                  <c:v>0.10701042004717838</c:v>
                </c:pt>
                <c:pt idx="4">
                  <c:v>2.0154164797665437E-5</c:v>
                </c:pt>
                <c:pt idx="5">
                  <c:v>1.7967486705502154E-2</c:v>
                </c:pt>
                <c:pt idx="6">
                  <c:v>7.5757575757575774E-2</c:v>
                </c:pt>
                <c:pt idx="7">
                  <c:v>0.21427478217774176</c:v>
                </c:pt>
                <c:pt idx="8">
                  <c:v>7.575757575757576E-2</c:v>
                </c:pt>
                <c:pt idx="9">
                  <c:v>3.2467532467532478E-2</c:v>
                </c:pt>
                <c:pt idx="10">
                  <c:v>2.964426877470357E-2</c:v>
                </c:pt>
                <c:pt idx="11">
                  <c:v>1.7967486705502154E-2</c:v>
                </c:pt>
                <c:pt idx="12">
                  <c:v>2.3510971786833857E-2</c:v>
                </c:pt>
                <c:pt idx="13">
                  <c:v>3.9763749772856453E-2</c:v>
                </c:pt>
                <c:pt idx="14">
                  <c:v>6.4754593338671645E-2</c:v>
                </c:pt>
                <c:pt idx="15">
                  <c:v>0.87976539589442826</c:v>
                </c:pt>
                <c:pt idx="16">
                  <c:v>0.62552126772310312</c:v>
                </c:pt>
                <c:pt idx="17">
                  <c:v>0.56700056700056756</c:v>
                </c:pt>
                <c:pt idx="18">
                  <c:v>1.9672152294719569</c:v>
                </c:pt>
                <c:pt idx="19">
                  <c:v>5.9016456884158721</c:v>
                </c:pt>
                <c:pt idx="20">
                  <c:v>1.9780719308809722</c:v>
                </c:pt>
                <c:pt idx="21">
                  <c:v>1.7930132263286984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C023-42A9-A341-A503E43D6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7280384"/>
        <c:axId val="247282304"/>
      </c:scatterChart>
      <c:valAx>
        <c:axId val="247280384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Source ID</a:t>
                </a:r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crossAx val="247282304"/>
        <c:crosses val="autoZero"/>
        <c:crossBetween val="midCat"/>
      </c:valAx>
      <c:valAx>
        <c:axId val="2472823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4728038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ZA"/>
              <a:t>Exclusion Zone Comparison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FRISS 3V/m</c:v>
          </c:tx>
          <c:spPr>
            <a:ln w="12700">
              <a:solidFill>
                <a:srgbClr val="00B050"/>
              </a:solidFill>
              <a:prstDash val="solid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Data'!$L$69:$L$92</c:f>
              <c:numCache>
                <c:formatCode>0.00</c:formatCode>
                <c:ptCount val="24"/>
                <c:pt idx="0">
                  <c:v>16.27213311542048</c:v>
                </c:pt>
                <c:pt idx="1">
                  <c:v>0.18257633646359869</c:v>
                </c:pt>
                <c:pt idx="2">
                  <c:v>1.8257633646359868</c:v>
                </c:pt>
                <c:pt idx="3">
                  <c:v>2.5789593001450957</c:v>
                </c:pt>
                <c:pt idx="4">
                  <c:v>3.6428768375089669E-6</c:v>
                </c:pt>
                <c:pt idx="5">
                  <c:v>0.57735707007422365</c:v>
                </c:pt>
                <c:pt idx="6">
                  <c:v>0.91288168231799338</c:v>
                </c:pt>
                <c:pt idx="7">
                  <c:v>2.5820193119521471</c:v>
                </c:pt>
                <c:pt idx="8">
                  <c:v>1.8257633646359868</c:v>
                </c:pt>
                <c:pt idx="9">
                  <c:v>0.91288168231799338</c:v>
                </c:pt>
                <c:pt idx="10">
                  <c:v>0.91288168231799338</c:v>
                </c:pt>
                <c:pt idx="11">
                  <c:v>0.57735707007422365</c:v>
                </c:pt>
                <c:pt idx="12">
                  <c:v>1.8257633646359868</c:v>
                </c:pt>
                <c:pt idx="13">
                  <c:v>1.2777458773346759</c:v>
                </c:pt>
                <c:pt idx="14">
                  <c:v>5.0285698643837033</c:v>
                </c:pt>
                <c:pt idx="15">
                  <c:v>1.8257633646359868</c:v>
                </c:pt>
                <c:pt idx="16">
                  <c:v>3.6515267292719735</c:v>
                </c:pt>
                <c:pt idx="17">
                  <c:v>3.6515267292719735</c:v>
                </c:pt>
                <c:pt idx="18">
                  <c:v>4.0825309941548023</c:v>
                </c:pt>
                <c:pt idx="19">
                  <c:v>12.247592982464406</c:v>
                </c:pt>
                <c:pt idx="20">
                  <c:v>11.547141401484472</c:v>
                </c:pt>
                <c:pt idx="21">
                  <c:v>11.547141401484472</c:v>
                </c:pt>
                <c:pt idx="22">
                  <c:v>0.57735707007422365</c:v>
                </c:pt>
                <c:pt idx="23">
                  <c:v>0.91288168231799338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1E-4FA0-9756-B26CE648CC1F}"/>
            </c:ext>
          </c:extLst>
        </c:ser>
        <c:ser>
          <c:idx val="4"/>
          <c:order val="1"/>
          <c:tx>
            <c:v>AFMAN 91-201 HERO UNSAFE</c:v>
          </c:tx>
          <c:spPr>
            <a:ln>
              <a:solidFill>
                <a:schemeClr val="accent6">
                  <a:lumMod val="50000"/>
                </a:schemeClr>
              </a:solidFill>
              <a:prstDash val="sysDash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Data'!$X$69:$X$92</c:f>
              <c:numCache>
                <c:formatCode>0.00</c:formatCode>
                <c:ptCount val="24"/>
                <c:pt idx="0">
                  <c:v>1.346096244491658</c:v>
                </c:pt>
                <c:pt idx="1">
                  <c:v>0.20188983636782673</c:v>
                </c:pt>
                <c:pt idx="2">
                  <c:v>0.97333333333333338</c:v>
                </c:pt>
                <c:pt idx="3">
                  <c:v>0.68743493838307401</c:v>
                </c:pt>
                <c:pt idx="4">
                  <c:v>2.1848122348909211E-5</c:v>
                </c:pt>
                <c:pt idx="5">
                  <c:v>0.11542313459614585</c:v>
                </c:pt>
                <c:pt idx="6">
                  <c:v>0.48666666666666669</c:v>
                </c:pt>
                <c:pt idx="7">
                  <c:v>1.3765012007098125</c:v>
                </c:pt>
                <c:pt idx="8">
                  <c:v>0.48666666666666669</c:v>
                </c:pt>
                <c:pt idx="9">
                  <c:v>0.20857142857142857</c:v>
                </c:pt>
                <c:pt idx="10">
                  <c:v>0.19043478260869565</c:v>
                </c:pt>
                <c:pt idx="11">
                  <c:v>0.11542313459614585</c:v>
                </c:pt>
                <c:pt idx="12">
                  <c:v>0.15103448275862069</c:v>
                </c:pt>
                <c:pt idx="13">
                  <c:v>0.25544232854082988</c:v>
                </c:pt>
                <c:pt idx="14">
                  <c:v>0.41598350760762665</c:v>
                </c:pt>
                <c:pt idx="15">
                  <c:v>5.6516129032258062</c:v>
                </c:pt>
                <c:pt idx="16">
                  <c:v>4.0183486238532113</c:v>
                </c:pt>
                <c:pt idx="17">
                  <c:v>3.6424116424116426</c:v>
                </c:pt>
                <c:pt idx="18">
                  <c:v>12.637390634127843</c:v>
                </c:pt>
                <c:pt idx="19">
                  <c:v>37.912171902383534</c:v>
                </c:pt>
                <c:pt idx="20">
                  <c:v>12.70713408397936</c:v>
                </c:pt>
                <c:pt idx="21">
                  <c:v>11.518316965935552</c:v>
                </c:pt>
                <c:pt idx="22">
                  <c:v>0.11542313459614585</c:v>
                </c:pt>
                <c:pt idx="23">
                  <c:v>0.22346938775510203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1E-4FA0-9756-B26CE648CC1F}"/>
            </c:ext>
          </c:extLst>
        </c:ser>
        <c:ser>
          <c:idx val="5"/>
          <c:order val="2"/>
          <c:tx>
            <c:v>AFMAN HERO SUSCEPTIBLE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Data'!$AA$69:$AA$92</c:f>
              <c:numCache>
                <c:formatCode>0.00</c:formatCode>
                <c:ptCount val="24"/>
                <c:pt idx="0">
                  <c:v>0.3365240611229145</c:v>
                </c:pt>
                <c:pt idx="1">
                  <c:v>5.0472459091956683E-2</c:v>
                </c:pt>
                <c:pt idx="2">
                  <c:v>0.24333333333333335</c:v>
                </c:pt>
                <c:pt idx="3">
                  <c:v>0.1718587345957685</c:v>
                </c:pt>
                <c:pt idx="4">
                  <c:v>5.4670187430147259E-6</c:v>
                </c:pt>
                <c:pt idx="5">
                  <c:v>2.8855783649036463E-2</c:v>
                </c:pt>
                <c:pt idx="6">
                  <c:v>0.12166666666666667</c:v>
                </c:pt>
                <c:pt idx="7">
                  <c:v>0.34412530017745313</c:v>
                </c:pt>
                <c:pt idx="8">
                  <c:v>0.12166666666666667</c:v>
                </c:pt>
                <c:pt idx="9">
                  <c:v>5.2142857142857144E-2</c:v>
                </c:pt>
                <c:pt idx="10">
                  <c:v>4.7608695652173912E-2</c:v>
                </c:pt>
                <c:pt idx="11">
                  <c:v>2.8855783649036463E-2</c:v>
                </c:pt>
                <c:pt idx="12">
                  <c:v>3.7758620689655173E-2</c:v>
                </c:pt>
                <c:pt idx="13">
                  <c:v>6.3860582135207469E-2</c:v>
                </c:pt>
                <c:pt idx="14">
                  <c:v>0.10399587690190666</c:v>
                </c:pt>
                <c:pt idx="15">
                  <c:v>1.4129032258064516</c:v>
                </c:pt>
                <c:pt idx="16">
                  <c:v>1.0045871559633028</c:v>
                </c:pt>
                <c:pt idx="17">
                  <c:v>0.91060291060291065</c:v>
                </c:pt>
                <c:pt idx="18">
                  <c:v>3.1593476585319609</c:v>
                </c:pt>
                <c:pt idx="19">
                  <c:v>9.4780429755958835</c:v>
                </c:pt>
                <c:pt idx="20">
                  <c:v>3.1767835209948401</c:v>
                </c:pt>
                <c:pt idx="21">
                  <c:v>2.8795792414838881</c:v>
                </c:pt>
                <c:pt idx="22">
                  <c:v>2.8855783649036463E-2</c:v>
                </c:pt>
                <c:pt idx="23">
                  <c:v>5.5867346938775507E-2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41E-4FA0-9756-B26CE648CC1F}"/>
            </c:ext>
          </c:extLst>
        </c:ser>
        <c:ser>
          <c:idx val="8"/>
          <c:order val="3"/>
          <c:tx>
            <c:v>TR50426 3V/m</c:v>
          </c:tx>
          <c:spPr>
            <a:ln>
              <a:solidFill>
                <a:schemeClr val="accent5">
                  <a:lumMod val="40000"/>
                  <a:lumOff val="60000"/>
                </a:schemeClr>
              </a:solidFill>
              <a:prstDash val="sysDot"/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Data'!$R$69:$R$92</c:f>
              <c:numCache>
                <c:formatCode>0.00</c:formatCode>
                <c:ptCount val="24"/>
                <c:pt idx="0">
                  <c:v>16.252674903625028</c:v>
                </c:pt>
                <c:pt idx="1">
                  <c:v>0.18235801173637656</c:v>
                </c:pt>
                <c:pt idx="2">
                  <c:v>1.8235801173637656</c:v>
                </c:pt>
                <c:pt idx="3">
                  <c:v>2.5758753814038879</c:v>
                </c:pt>
                <c:pt idx="4">
                  <c:v>3.638520686502445E-6</c:v>
                </c:pt>
                <c:pt idx="5">
                  <c:v>0.57666666666666666</c:v>
                </c:pt>
                <c:pt idx="6">
                  <c:v>0.9117900586818829</c:v>
                </c:pt>
                <c:pt idx="7">
                  <c:v>2.5789317340497586</c:v>
                </c:pt>
                <c:pt idx="8">
                  <c:v>1.8235801173637656</c:v>
                </c:pt>
                <c:pt idx="9">
                  <c:v>0.9117900586818829</c:v>
                </c:pt>
                <c:pt idx="10">
                  <c:v>0.9117900586818829</c:v>
                </c:pt>
                <c:pt idx="11">
                  <c:v>0.57666666666666666</c:v>
                </c:pt>
                <c:pt idx="12">
                  <c:v>1.8235801173637656</c:v>
                </c:pt>
                <c:pt idx="13">
                  <c:v>1.276217949205918</c:v>
                </c:pt>
                <c:pt idx="14">
                  <c:v>5.0225567020800659</c:v>
                </c:pt>
                <c:pt idx="15">
                  <c:v>1.8235801173637656</c:v>
                </c:pt>
                <c:pt idx="16">
                  <c:v>3.6471602347275343</c:v>
                </c:pt>
                <c:pt idx="17">
                  <c:v>3.6471602347275343</c:v>
                </c:pt>
                <c:pt idx="18">
                  <c:v>4.0776491048424264</c:v>
                </c:pt>
                <c:pt idx="19">
                  <c:v>12.232947314527282</c:v>
                </c:pt>
                <c:pt idx="20">
                  <c:v>11.533333333333339</c:v>
                </c:pt>
                <c:pt idx="21">
                  <c:v>11.533333333333339</c:v>
                </c:pt>
                <c:pt idx="22">
                  <c:v>0.57666666666666666</c:v>
                </c:pt>
                <c:pt idx="23">
                  <c:v>0.9117900586818829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41E-4FA0-9756-B26CE648CC1F}"/>
            </c:ext>
          </c:extLst>
        </c:ser>
        <c:ser>
          <c:idx val="0"/>
          <c:order val="4"/>
          <c:tx>
            <c:v>NASA</c:v>
          </c:tx>
          <c:spPr>
            <a:ln>
              <a:solidFill>
                <a:srgbClr val="FFFF00"/>
              </a:solidFill>
            </a:ln>
          </c:spPr>
          <c:marker>
            <c:symbol val="none"/>
          </c:marker>
          <c:xVal>
            <c:numRef>
              <c:f>'Transmitter Data'!$A$69:$A$92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xVal>
          <c:yVal>
            <c:numRef>
              <c:f>'Transmitter Data'!$U$69:$U$92</c:f>
              <c:numCache>
                <c:formatCode>0.00</c:formatCode>
                <c:ptCount val="24"/>
                <c:pt idx="0">
                  <c:v>0.20954175661451713</c:v>
                </c:pt>
                <c:pt idx="1">
                  <c:v>3.1427434054767549E-2</c:v>
                </c:pt>
                <c:pt idx="2">
                  <c:v>0.15151515151515152</c:v>
                </c:pt>
                <c:pt idx="3">
                  <c:v>0.10701042004717838</c:v>
                </c:pt>
                <c:pt idx="4">
                  <c:v>2.0154164797665437E-5</c:v>
                </c:pt>
                <c:pt idx="5">
                  <c:v>1.7967486705502154E-2</c:v>
                </c:pt>
                <c:pt idx="6">
                  <c:v>7.5757575757575774E-2</c:v>
                </c:pt>
                <c:pt idx="7">
                  <c:v>0.21427478217774176</c:v>
                </c:pt>
                <c:pt idx="8">
                  <c:v>7.575757575757576E-2</c:v>
                </c:pt>
                <c:pt idx="9">
                  <c:v>3.2467532467532478E-2</c:v>
                </c:pt>
                <c:pt idx="10">
                  <c:v>2.964426877470357E-2</c:v>
                </c:pt>
                <c:pt idx="11">
                  <c:v>1.7967486705502154E-2</c:v>
                </c:pt>
                <c:pt idx="12">
                  <c:v>2.3510971786833857E-2</c:v>
                </c:pt>
                <c:pt idx="13">
                  <c:v>3.9763749772856453E-2</c:v>
                </c:pt>
                <c:pt idx="14">
                  <c:v>6.4754593338671645E-2</c:v>
                </c:pt>
                <c:pt idx="15">
                  <c:v>0.87976539589442826</c:v>
                </c:pt>
                <c:pt idx="16">
                  <c:v>0.62552126772310312</c:v>
                </c:pt>
                <c:pt idx="17">
                  <c:v>0.56700056700056756</c:v>
                </c:pt>
                <c:pt idx="18">
                  <c:v>1.9672152294719569</c:v>
                </c:pt>
                <c:pt idx="19">
                  <c:v>5.9016456884158721</c:v>
                </c:pt>
                <c:pt idx="20">
                  <c:v>1.9780719308809722</c:v>
                </c:pt>
                <c:pt idx="21">
                  <c:v>1.7930132263286984</c:v>
                </c:pt>
                <c:pt idx="22">
                  <c:v>1.7967486705502154E-2</c:v>
                </c:pt>
                <c:pt idx="23">
                  <c:v>3.4786641929499082E-2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141E-4FA0-9756-B26CE648CC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8525568"/>
        <c:axId val="248527488"/>
      </c:scatterChart>
      <c:valAx>
        <c:axId val="248525568"/>
        <c:scaling>
          <c:orientation val="minMax"/>
          <c:max val="25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Source ID</a:t>
                </a:r>
              </a:p>
            </c:rich>
          </c:tx>
          <c:overlay val="0"/>
        </c:title>
        <c:numFmt formatCode="General" sourceLinked="1"/>
        <c:majorTickMark val="none"/>
        <c:minorTickMark val="cross"/>
        <c:tickLblPos val="nextTo"/>
        <c:crossAx val="248527488"/>
        <c:crosses val="autoZero"/>
        <c:crossBetween val="midCat"/>
      </c:valAx>
      <c:valAx>
        <c:axId val="248527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crossAx val="24852556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png"/><Relationship Id="rId3" Type="http://schemas.openxmlformats.org/officeDocument/2006/relationships/image" Target="../media/image9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476250</xdr:colOff>
      <xdr:row>0</xdr:row>
      <xdr:rowOff>9525</xdr:rowOff>
    </xdr:from>
    <xdr:to>
      <xdr:col>26</xdr:col>
      <xdr:colOff>456441</xdr:colOff>
      <xdr:row>20</xdr:row>
      <xdr:rowOff>170954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82450" y="9525"/>
          <a:ext cx="6076191" cy="397142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123825</xdr:colOff>
      <xdr:row>0</xdr:row>
      <xdr:rowOff>95250</xdr:rowOff>
    </xdr:from>
    <xdr:to>
      <xdr:col>36</xdr:col>
      <xdr:colOff>46264</xdr:colOff>
      <xdr:row>30</xdr:row>
      <xdr:rowOff>142155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87400" y="95250"/>
          <a:ext cx="10895239" cy="576190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0</xdr:colOff>
      <xdr:row>0</xdr:row>
      <xdr:rowOff>0</xdr:rowOff>
    </xdr:from>
    <xdr:to>
      <xdr:col>25</xdr:col>
      <xdr:colOff>428038</xdr:colOff>
      <xdr:row>21</xdr:row>
      <xdr:rowOff>475619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68075" y="0"/>
          <a:ext cx="4695238" cy="5047619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24</xdr:row>
      <xdr:rowOff>0</xdr:rowOff>
    </xdr:from>
    <xdr:to>
      <xdr:col>25</xdr:col>
      <xdr:colOff>228038</xdr:colOff>
      <xdr:row>38</xdr:row>
      <xdr:rowOff>168176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268075" y="5334000"/>
          <a:ext cx="4495238" cy="4419048"/>
        </a:xfrm>
        <a:prstGeom prst="rect">
          <a:avLst/>
        </a:prstGeom>
      </xdr:spPr>
    </xdr:pic>
    <xdr:clientData/>
  </xdr:twoCellAnchor>
  <xdr:twoCellAnchor editAs="oneCell">
    <xdr:from>
      <xdr:col>25</xdr:col>
      <xdr:colOff>585107</xdr:colOff>
      <xdr:row>22</xdr:row>
      <xdr:rowOff>95250</xdr:rowOff>
    </xdr:from>
    <xdr:to>
      <xdr:col>35</xdr:col>
      <xdr:colOff>476859</xdr:colOff>
      <xdr:row>33</xdr:row>
      <xdr:rowOff>553393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049750" y="5061857"/>
          <a:ext cx="6014967" cy="3342857"/>
        </a:xfrm>
        <a:prstGeom prst="rect">
          <a:avLst/>
        </a:prstGeom>
      </xdr:spPr>
    </xdr:pic>
    <xdr:clientData/>
  </xdr:twoCellAnchor>
  <xdr:twoCellAnchor editAs="oneCell">
    <xdr:from>
      <xdr:col>25</xdr:col>
      <xdr:colOff>571499</xdr:colOff>
      <xdr:row>37</xdr:row>
      <xdr:rowOff>122464</xdr:rowOff>
    </xdr:from>
    <xdr:to>
      <xdr:col>35</xdr:col>
      <xdr:colOff>472775</xdr:colOff>
      <xdr:row>61</xdr:row>
      <xdr:rowOff>125680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036142" y="8341178"/>
          <a:ext cx="6024491" cy="694285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533400</xdr:colOff>
      <xdr:row>0</xdr:row>
      <xdr:rowOff>61911</xdr:rowOff>
    </xdr:from>
    <xdr:to>
      <xdr:col>14</xdr:col>
      <xdr:colOff>600075</xdr:colOff>
      <xdr:row>23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11</xdr:row>
      <xdr:rowOff>57150</xdr:rowOff>
    </xdr:from>
    <xdr:to>
      <xdr:col>4</xdr:col>
      <xdr:colOff>142219</xdr:colOff>
      <xdr:row>31</xdr:row>
      <xdr:rowOff>9055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267200"/>
          <a:ext cx="5247619" cy="3761905"/>
        </a:xfrm>
        <a:prstGeom prst="rect">
          <a:avLst/>
        </a:prstGeom>
      </xdr:spPr>
    </xdr:pic>
    <xdr:clientData/>
  </xdr:twoCellAnchor>
  <xdr:twoCellAnchor editAs="oneCell">
    <xdr:from>
      <xdr:col>4</xdr:col>
      <xdr:colOff>609600</xdr:colOff>
      <xdr:row>11</xdr:row>
      <xdr:rowOff>57150</xdr:rowOff>
    </xdr:from>
    <xdr:to>
      <xdr:col>10</xdr:col>
      <xdr:colOff>361321</xdr:colOff>
      <xdr:row>31</xdr:row>
      <xdr:rowOff>56674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15000" y="4267200"/>
          <a:ext cx="5038096" cy="3809524"/>
        </a:xfrm>
        <a:prstGeom prst="rect">
          <a:avLst/>
        </a:prstGeom>
      </xdr:spPr>
    </xdr:pic>
    <xdr:clientData/>
  </xdr:twoCellAnchor>
  <xdr:twoCellAnchor editAs="oneCell">
    <xdr:from>
      <xdr:col>11</xdr:col>
      <xdr:colOff>285750</xdr:colOff>
      <xdr:row>11</xdr:row>
      <xdr:rowOff>95250</xdr:rowOff>
    </xdr:from>
    <xdr:to>
      <xdr:col>19</xdr:col>
      <xdr:colOff>275577</xdr:colOff>
      <xdr:row>30</xdr:row>
      <xdr:rowOff>151941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87125" y="4305300"/>
          <a:ext cx="5190477" cy="367619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3</xdr:col>
      <xdr:colOff>770913</xdr:colOff>
      <xdr:row>41</xdr:row>
      <xdr:rowOff>47381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8020050"/>
          <a:ext cx="4895238" cy="195238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31</xdr:row>
      <xdr:rowOff>0</xdr:rowOff>
    </xdr:from>
    <xdr:to>
      <xdr:col>9</xdr:col>
      <xdr:colOff>275606</xdr:colOff>
      <xdr:row>50</xdr:row>
      <xdr:rowOff>104310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105400" y="8020050"/>
          <a:ext cx="4952381" cy="372381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31</xdr:row>
      <xdr:rowOff>0</xdr:rowOff>
    </xdr:from>
    <xdr:to>
      <xdr:col>17</xdr:col>
      <xdr:colOff>466093</xdr:colOff>
      <xdr:row>52</xdr:row>
      <xdr:rowOff>85215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91775" y="8020050"/>
          <a:ext cx="5057143" cy="408571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43</xdr:row>
      <xdr:rowOff>0</xdr:rowOff>
    </xdr:from>
    <xdr:to>
      <xdr:col>4</xdr:col>
      <xdr:colOff>161267</xdr:colOff>
      <xdr:row>57</xdr:row>
      <xdr:rowOff>142524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10306050"/>
          <a:ext cx="5266667" cy="28095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3</xdr:col>
      <xdr:colOff>761390</xdr:colOff>
      <xdr:row>72</xdr:row>
      <xdr:rowOff>190143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13163550"/>
          <a:ext cx="4885715" cy="285714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7937</xdr:colOff>
      <xdr:row>66</xdr:row>
      <xdr:rowOff>603250</xdr:rowOff>
    </xdr:from>
    <xdr:to>
      <xdr:col>52</xdr:col>
      <xdr:colOff>265906</xdr:colOff>
      <xdr:row>102</xdr:row>
      <xdr:rowOff>55563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0</xdr:colOff>
      <xdr:row>104</xdr:row>
      <xdr:rowOff>0</xdr:rowOff>
    </xdr:from>
    <xdr:to>
      <xdr:col>52</xdr:col>
      <xdr:colOff>261938</xdr:colOff>
      <xdr:row>142</xdr:row>
      <xdr:rowOff>59531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0</xdr:colOff>
      <xdr:row>145</xdr:row>
      <xdr:rowOff>0</xdr:rowOff>
    </xdr:from>
    <xdr:to>
      <xdr:col>52</xdr:col>
      <xdr:colOff>261938</xdr:colOff>
      <xdr:row>183</xdr:row>
      <xdr:rowOff>59531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0</xdr:colOff>
      <xdr:row>227</xdr:row>
      <xdr:rowOff>0</xdr:rowOff>
    </xdr:from>
    <xdr:to>
      <xdr:col>52</xdr:col>
      <xdr:colOff>261938</xdr:colOff>
      <xdr:row>265</xdr:row>
      <xdr:rowOff>59531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33</xdr:col>
      <xdr:colOff>0</xdr:colOff>
      <xdr:row>186</xdr:row>
      <xdr:rowOff>0</xdr:rowOff>
    </xdr:from>
    <xdr:to>
      <xdr:col>52</xdr:col>
      <xdr:colOff>261938</xdr:colOff>
      <xdr:row>224</xdr:row>
      <xdr:rowOff>59531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76200</xdr:colOff>
          <xdr:row>3</xdr:row>
          <xdr:rowOff>95250</xdr:rowOff>
        </xdr:from>
        <xdr:to>
          <xdr:col>28</xdr:col>
          <xdr:colOff>552450</xdr:colOff>
          <xdr:row>4</xdr:row>
          <xdr:rowOff>142875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to Array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66675</xdr:colOff>
          <xdr:row>4</xdr:row>
          <xdr:rowOff>161925</xdr:rowOff>
        </xdr:from>
        <xdr:to>
          <xdr:col>28</xdr:col>
          <xdr:colOff>600075</xdr:colOff>
          <xdr:row>6</xdr:row>
          <xdr:rowOff>0</xdr:rowOff>
        </xdr:to>
        <xdr:sp macro="" textlink="">
          <xdr:nvSpPr>
            <xdr:cNvPr id="8207" name="Button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Array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D2"/>
  <sheetViews>
    <sheetView workbookViewId="0">
      <selection activeCell="D2" sqref="D2"/>
    </sheetView>
  </sheetViews>
  <sheetFormatPr defaultRowHeight="15" x14ac:dyDescent="0.25"/>
  <cols>
    <col min="2" max="2" width="14.7109375" customWidth="1"/>
    <col min="3" max="3" width="19.7109375" customWidth="1"/>
    <col min="4" max="4" width="19.5703125" customWidth="1"/>
  </cols>
  <sheetData>
    <row r="1" spans="2:4" x14ac:dyDescent="0.3">
      <c r="B1" t="s">
        <v>68</v>
      </c>
      <c r="C1" t="s">
        <v>70</v>
      </c>
      <c r="D1" t="s">
        <v>69</v>
      </c>
    </row>
    <row r="2" spans="2:4" x14ac:dyDescent="0.3">
      <c r="B2">
        <v>3</v>
      </c>
      <c r="C2">
        <v>0.46</v>
      </c>
      <c r="D2">
        <f>(0.1*10^(0.1*B2))/C2</f>
        <v>0.43375267716714783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175"/>
  <sheetViews>
    <sheetView topLeftCell="B1" workbookViewId="0">
      <selection activeCell="G18" sqref="G18"/>
    </sheetView>
  </sheetViews>
  <sheetFormatPr defaultRowHeight="15" x14ac:dyDescent="0.25"/>
  <cols>
    <col min="2" max="2" width="30.5703125" customWidth="1"/>
    <col min="5" max="5" width="14" customWidth="1"/>
  </cols>
  <sheetData>
    <row r="1" spans="2:12" ht="14.45" x14ac:dyDescent="0.3">
      <c r="C1" t="s">
        <v>73</v>
      </c>
    </row>
    <row r="2" spans="2:12" ht="14.45" x14ac:dyDescent="0.3">
      <c r="B2" t="s">
        <v>72</v>
      </c>
      <c r="C2">
        <v>5800</v>
      </c>
    </row>
    <row r="5" spans="2:12" ht="14.45" x14ac:dyDescent="0.3">
      <c r="B5" t="s">
        <v>71</v>
      </c>
      <c r="C5" s="13" t="s">
        <v>75</v>
      </c>
      <c r="E5" t="s">
        <v>76</v>
      </c>
    </row>
    <row r="6" spans="2:12" ht="14.45" x14ac:dyDescent="0.3">
      <c r="C6" s="14">
        <f>-5.3+4.9*LOG(C2)</f>
        <v>13.140797168458395</v>
      </c>
      <c r="E6" t="s">
        <v>74</v>
      </c>
    </row>
    <row r="7" spans="2:12" ht="14.45" x14ac:dyDescent="0.3">
      <c r="C7">
        <f>-5.3+4.9*LOG(C6)</f>
        <v>0.18124638832327378</v>
      </c>
      <c r="E7" t="s">
        <v>77</v>
      </c>
    </row>
    <row r="13" spans="2:12" ht="14.45" x14ac:dyDescent="0.3">
      <c r="B13" t="s">
        <v>78</v>
      </c>
      <c r="C13" s="15">
        <f>((173*C14*(C15)^0.5)/(C16*1000^0.5))*100</f>
        <v>247.09342362758261</v>
      </c>
      <c r="D13" t="s">
        <v>79</v>
      </c>
      <c r="F13" t="s">
        <v>78</v>
      </c>
      <c r="G13" s="15">
        <f>((173*G14*(G15)^0.5)/(G16*1000^0.5))*100</f>
        <v>49.41868472551652</v>
      </c>
      <c r="H13" t="s">
        <v>79</v>
      </c>
      <c r="J13" t="s">
        <v>78</v>
      </c>
      <c r="K13" s="15">
        <f>((173*K14*(K15)^0.5)/(K16*1000^0.5))*100</f>
        <v>24.70934236275826</v>
      </c>
      <c r="L13" t="s">
        <v>79</v>
      </c>
    </row>
    <row r="14" spans="2:12" ht="14.45" x14ac:dyDescent="0.3">
      <c r="B14" t="s">
        <v>80</v>
      </c>
      <c r="C14">
        <v>1</v>
      </c>
      <c r="F14" t="s">
        <v>80</v>
      </c>
      <c r="G14">
        <v>1</v>
      </c>
      <c r="J14" t="s">
        <v>80</v>
      </c>
      <c r="K14">
        <v>1</v>
      </c>
    </row>
    <row r="15" spans="2:12" ht="14.45" x14ac:dyDescent="0.3">
      <c r="B15" t="s">
        <v>81</v>
      </c>
      <c r="C15">
        <v>20.399999999999999</v>
      </c>
      <c r="D15" t="s">
        <v>83</v>
      </c>
      <c r="F15" t="s">
        <v>81</v>
      </c>
      <c r="G15">
        <v>20.399999999999999</v>
      </c>
      <c r="H15" t="s">
        <v>83</v>
      </c>
      <c r="J15" t="s">
        <v>81</v>
      </c>
      <c r="K15">
        <v>20.399999999999999</v>
      </c>
      <c r="L15" t="s">
        <v>83</v>
      </c>
    </row>
    <row r="16" spans="2:12" ht="14.45" x14ac:dyDescent="0.3">
      <c r="B16" t="s">
        <v>82</v>
      </c>
      <c r="C16">
        <v>10</v>
      </c>
      <c r="D16" t="s">
        <v>84</v>
      </c>
      <c r="F16" t="s">
        <v>82</v>
      </c>
      <c r="G16">
        <v>50</v>
      </c>
      <c r="H16" t="s">
        <v>84</v>
      </c>
      <c r="J16" t="s">
        <v>82</v>
      </c>
      <c r="K16">
        <v>100</v>
      </c>
      <c r="L16" t="s">
        <v>84</v>
      </c>
    </row>
    <row r="18" spans="2:12" ht="14.45" x14ac:dyDescent="0.3">
      <c r="B18" t="s">
        <v>82</v>
      </c>
      <c r="C18" s="15">
        <f>((173*C19*(C20)^0.5)/(C21*1000^0.5))*100</f>
        <v>823.64474542527523</v>
      </c>
      <c r="D18" t="s">
        <v>84</v>
      </c>
      <c r="F18" t="s">
        <v>82</v>
      </c>
      <c r="G18" s="15">
        <f>((173*G19*(G20)^0.5)/(G21*1000^0.5))*100</f>
        <v>247.09342362758261</v>
      </c>
      <c r="H18" t="s">
        <v>84</v>
      </c>
      <c r="J18" t="s">
        <v>82</v>
      </c>
      <c r="K18" s="15">
        <f>((173*K19*(K20)^0.5)/(K21*1000^0.5))*100</f>
        <v>82.364474542527518</v>
      </c>
      <c r="L18" t="s">
        <v>84</v>
      </c>
    </row>
    <row r="19" spans="2:12" ht="14.45" x14ac:dyDescent="0.3">
      <c r="B19" t="s">
        <v>80</v>
      </c>
      <c r="C19">
        <v>1</v>
      </c>
      <c r="F19" t="s">
        <v>80</v>
      </c>
      <c r="G19">
        <v>1</v>
      </c>
      <c r="J19" t="s">
        <v>80</v>
      </c>
      <c r="K19">
        <v>1</v>
      </c>
    </row>
    <row r="20" spans="2:12" ht="14.45" x14ac:dyDescent="0.3">
      <c r="B20" t="s">
        <v>81</v>
      </c>
      <c r="C20">
        <f>C15</f>
        <v>20.399999999999999</v>
      </c>
      <c r="D20" t="s">
        <v>83</v>
      </c>
      <c r="F20" t="s">
        <v>81</v>
      </c>
      <c r="G20">
        <f>G15</f>
        <v>20.399999999999999</v>
      </c>
      <c r="H20" t="s">
        <v>83</v>
      </c>
      <c r="J20" t="s">
        <v>81</v>
      </c>
      <c r="K20">
        <f>K15</f>
        <v>20.399999999999999</v>
      </c>
      <c r="L20" t="s">
        <v>83</v>
      </c>
    </row>
    <row r="21" spans="2:12" ht="14.45" x14ac:dyDescent="0.3">
      <c r="B21" t="s">
        <v>78</v>
      </c>
      <c r="C21">
        <v>3</v>
      </c>
      <c r="D21" t="s">
        <v>79</v>
      </c>
      <c r="F21" t="s">
        <v>78</v>
      </c>
      <c r="G21">
        <v>10</v>
      </c>
      <c r="H21" t="s">
        <v>79</v>
      </c>
      <c r="J21" t="s">
        <v>78</v>
      </c>
      <c r="K21">
        <v>30</v>
      </c>
      <c r="L21" t="s">
        <v>79</v>
      </c>
    </row>
    <row r="23" spans="2:12" ht="14.45" x14ac:dyDescent="0.3">
      <c r="C23" t="s">
        <v>73</v>
      </c>
    </row>
    <row r="24" spans="2:12" ht="14.45" x14ac:dyDescent="0.3">
      <c r="B24" t="s">
        <v>72</v>
      </c>
      <c r="C24">
        <v>200</v>
      </c>
    </row>
    <row r="27" spans="2:12" ht="14.45" x14ac:dyDescent="0.3">
      <c r="B27" t="s">
        <v>71</v>
      </c>
      <c r="C27" s="13" t="s">
        <v>75</v>
      </c>
      <c r="E27" t="s">
        <v>76</v>
      </c>
    </row>
    <row r="28" spans="2:12" ht="14.45" x14ac:dyDescent="0.3">
      <c r="C28" s="14">
        <f>-5.3+4.9*LOG(C24)</f>
        <v>5.9750469787535083</v>
      </c>
      <c r="E28" t="s">
        <v>74</v>
      </c>
    </row>
    <row r="29" spans="2:12" ht="14.45" x14ac:dyDescent="0.3">
      <c r="C29">
        <v>6</v>
      </c>
      <c r="E29" t="s">
        <v>77</v>
      </c>
    </row>
    <row r="35" spans="2:4" x14ac:dyDescent="0.25">
      <c r="B35" t="s">
        <v>78</v>
      </c>
      <c r="C35" s="15">
        <f>((173*C36*(C37)^0.5)/(C38*1000^0.5))*100</f>
        <v>4.0776491048424235E-2</v>
      </c>
      <c r="D35" t="s">
        <v>79</v>
      </c>
    </row>
    <row r="36" spans="2:4" x14ac:dyDescent="0.25">
      <c r="B36" t="s">
        <v>80</v>
      </c>
      <c r="C36">
        <v>1</v>
      </c>
    </row>
    <row r="37" spans="2:4" x14ac:dyDescent="0.25">
      <c r="B37" t="s">
        <v>81</v>
      </c>
      <c r="C37">
        <v>0.05</v>
      </c>
      <c r="D37" t="s">
        <v>83</v>
      </c>
    </row>
    <row r="38" spans="2:4" x14ac:dyDescent="0.25">
      <c r="B38" t="s">
        <v>82</v>
      </c>
      <c r="C38">
        <v>3000</v>
      </c>
      <c r="D38" t="s">
        <v>84</v>
      </c>
    </row>
    <row r="40" spans="2:4" x14ac:dyDescent="0.25">
      <c r="B40" t="s">
        <v>82</v>
      </c>
      <c r="C40" s="15">
        <f>((173*C41*(C42)^0.5)/(C43*1000^0.5))*100</f>
        <v>43.25</v>
      </c>
      <c r="D40" t="s">
        <v>84</v>
      </c>
    </row>
    <row r="41" spans="2:4" x14ac:dyDescent="0.25">
      <c r="B41" t="s">
        <v>80</v>
      </c>
      <c r="C41">
        <v>1</v>
      </c>
    </row>
    <row r="42" spans="2:4" x14ac:dyDescent="0.25">
      <c r="B42" t="s">
        <v>81</v>
      </c>
      <c r="C42">
        <v>2.5000000000000001E-2</v>
      </c>
      <c r="D42" t="s">
        <v>83</v>
      </c>
    </row>
    <row r="43" spans="2:4" x14ac:dyDescent="0.25">
      <c r="B43" t="s">
        <v>78</v>
      </c>
      <c r="C43">
        <v>2</v>
      </c>
      <c r="D43" t="s">
        <v>79</v>
      </c>
    </row>
    <row r="45" spans="2:4" x14ac:dyDescent="0.25">
      <c r="C45" t="s">
        <v>73</v>
      </c>
    </row>
    <row r="46" spans="2:4" x14ac:dyDescent="0.25">
      <c r="B46" t="s">
        <v>72</v>
      </c>
      <c r="C46">
        <v>200</v>
      </c>
    </row>
    <row r="49" spans="2:5" x14ac:dyDescent="0.25">
      <c r="B49" t="s">
        <v>71</v>
      </c>
      <c r="C49" s="13" t="s">
        <v>75</v>
      </c>
      <c r="E49" t="s">
        <v>76</v>
      </c>
    </row>
    <row r="50" spans="2:5" x14ac:dyDescent="0.25">
      <c r="C50" s="14">
        <f>-5.3+4.9*LOG(C46)</f>
        <v>5.9750469787535083</v>
      </c>
      <c r="E50" t="s">
        <v>74</v>
      </c>
    </row>
    <row r="51" spans="2:5" x14ac:dyDescent="0.25">
      <c r="C51">
        <v>6</v>
      </c>
      <c r="E51" t="s">
        <v>77</v>
      </c>
    </row>
    <row r="57" spans="2:5" x14ac:dyDescent="0.25">
      <c r="B57" t="s">
        <v>78</v>
      </c>
      <c r="C57" s="15">
        <f>((173*C58*(C59)^0.5)/(C60*1000^0.5))*100</f>
        <v>4.0776491048424235E-2</v>
      </c>
      <c r="D57" t="s">
        <v>79</v>
      </c>
    </row>
    <row r="58" spans="2:5" x14ac:dyDescent="0.25">
      <c r="B58" t="s">
        <v>80</v>
      </c>
      <c r="C58">
        <v>1</v>
      </c>
    </row>
    <row r="59" spans="2:5" x14ac:dyDescent="0.25">
      <c r="B59" t="s">
        <v>81</v>
      </c>
      <c r="C59">
        <v>0.05</v>
      </c>
      <c r="D59" t="s">
        <v>83</v>
      </c>
    </row>
    <row r="60" spans="2:5" x14ac:dyDescent="0.25">
      <c r="B60" t="s">
        <v>82</v>
      </c>
      <c r="C60">
        <v>3000</v>
      </c>
      <c r="D60" t="s">
        <v>84</v>
      </c>
    </row>
    <row r="62" spans="2:5" x14ac:dyDescent="0.25">
      <c r="B62" t="s">
        <v>82</v>
      </c>
      <c r="C62" s="15">
        <f>((173*C63*(C64)^0.5)/(C65*1000^0.5))*100</f>
        <v>43.25</v>
      </c>
      <c r="D62" t="s">
        <v>84</v>
      </c>
    </row>
    <row r="63" spans="2:5" x14ac:dyDescent="0.25">
      <c r="B63" t="s">
        <v>80</v>
      </c>
      <c r="C63">
        <v>1</v>
      </c>
    </row>
    <row r="64" spans="2:5" x14ac:dyDescent="0.25">
      <c r="B64" t="s">
        <v>81</v>
      </c>
      <c r="C64">
        <v>2.5000000000000001E-2</v>
      </c>
      <c r="D64" t="s">
        <v>83</v>
      </c>
    </row>
    <row r="65" spans="2:5" x14ac:dyDescent="0.25">
      <c r="B65" t="s">
        <v>78</v>
      </c>
      <c r="C65">
        <v>2</v>
      </c>
      <c r="D65" t="s">
        <v>79</v>
      </c>
    </row>
    <row r="67" spans="2:5" x14ac:dyDescent="0.25">
      <c r="C67" t="s">
        <v>73</v>
      </c>
    </row>
    <row r="68" spans="2:5" x14ac:dyDescent="0.25">
      <c r="B68" t="s">
        <v>72</v>
      </c>
      <c r="C68">
        <v>200</v>
      </c>
    </row>
    <row r="71" spans="2:5" x14ac:dyDescent="0.25">
      <c r="B71" t="s">
        <v>71</v>
      </c>
      <c r="C71" s="13" t="s">
        <v>75</v>
      </c>
      <c r="E71" t="s">
        <v>76</v>
      </c>
    </row>
    <row r="72" spans="2:5" x14ac:dyDescent="0.25">
      <c r="C72" s="14">
        <f>-5.3+4.9*LOG(C68)</f>
        <v>5.9750469787535083</v>
      </c>
      <c r="E72" t="s">
        <v>74</v>
      </c>
    </row>
    <row r="73" spans="2:5" x14ac:dyDescent="0.25">
      <c r="C73">
        <v>6</v>
      </c>
      <c r="E73" t="s">
        <v>77</v>
      </c>
    </row>
    <row r="79" spans="2:5" x14ac:dyDescent="0.25">
      <c r="B79" t="s">
        <v>78</v>
      </c>
      <c r="C79" s="15">
        <f>((173*C80*(C81)^0.5)/(C82*1000^0.5))*100</f>
        <v>4.0776491048424235E-2</v>
      </c>
      <c r="D79" t="s">
        <v>79</v>
      </c>
    </row>
    <row r="80" spans="2:5" x14ac:dyDescent="0.25">
      <c r="B80" t="s">
        <v>80</v>
      </c>
      <c r="C80">
        <v>1</v>
      </c>
    </row>
    <row r="81" spans="2:5" x14ac:dyDescent="0.25">
      <c r="B81" t="s">
        <v>81</v>
      </c>
      <c r="C81">
        <v>0.05</v>
      </c>
      <c r="D81" t="s">
        <v>83</v>
      </c>
    </row>
    <row r="82" spans="2:5" x14ac:dyDescent="0.25">
      <c r="B82" t="s">
        <v>82</v>
      </c>
      <c r="C82">
        <v>3000</v>
      </c>
      <c r="D82" t="s">
        <v>84</v>
      </c>
    </row>
    <row r="84" spans="2:5" x14ac:dyDescent="0.25">
      <c r="B84" t="s">
        <v>82</v>
      </c>
      <c r="C84" s="15">
        <f>((173*C85*(C86)^0.5)/(C87*1000^0.5))*100</f>
        <v>43.25</v>
      </c>
      <c r="D84" t="s">
        <v>84</v>
      </c>
    </row>
    <row r="85" spans="2:5" x14ac:dyDescent="0.25">
      <c r="B85" t="s">
        <v>80</v>
      </c>
      <c r="C85">
        <v>1</v>
      </c>
    </row>
    <row r="86" spans="2:5" x14ac:dyDescent="0.25">
      <c r="B86" t="s">
        <v>81</v>
      </c>
      <c r="C86">
        <v>2.5000000000000001E-2</v>
      </c>
      <c r="D86" t="s">
        <v>83</v>
      </c>
    </row>
    <row r="87" spans="2:5" x14ac:dyDescent="0.25">
      <c r="B87" t="s">
        <v>78</v>
      </c>
      <c r="C87">
        <v>2</v>
      </c>
      <c r="D87" t="s">
        <v>79</v>
      </c>
    </row>
    <row r="89" spans="2:5" x14ac:dyDescent="0.25">
      <c r="C89" t="s">
        <v>73</v>
      </c>
    </row>
    <row r="90" spans="2:5" x14ac:dyDescent="0.25">
      <c r="B90" t="s">
        <v>72</v>
      </c>
      <c r="C90">
        <v>200</v>
      </c>
    </row>
    <row r="93" spans="2:5" x14ac:dyDescent="0.25">
      <c r="B93" t="s">
        <v>71</v>
      </c>
      <c r="C93" s="13" t="s">
        <v>75</v>
      </c>
      <c r="E93" t="s">
        <v>76</v>
      </c>
    </row>
    <row r="94" spans="2:5" x14ac:dyDescent="0.25">
      <c r="C94" s="14">
        <f>-5.3+4.9*LOG(C90)</f>
        <v>5.9750469787535083</v>
      </c>
      <c r="E94" t="s">
        <v>74</v>
      </c>
    </row>
    <row r="95" spans="2:5" x14ac:dyDescent="0.25">
      <c r="C95">
        <v>6</v>
      </c>
      <c r="E95" t="s">
        <v>77</v>
      </c>
    </row>
    <row r="101" spans="2:4" x14ac:dyDescent="0.25">
      <c r="B101" t="s">
        <v>78</v>
      </c>
      <c r="C101" s="15">
        <f>((173*C102*(C103)^0.5)/(C104*1000^0.5))*100</f>
        <v>4.0776491048424235E-2</v>
      </c>
      <c r="D101" t="s">
        <v>79</v>
      </c>
    </row>
    <row r="102" spans="2:4" x14ac:dyDescent="0.25">
      <c r="B102" t="s">
        <v>80</v>
      </c>
      <c r="C102">
        <v>1</v>
      </c>
    </row>
    <row r="103" spans="2:4" x14ac:dyDescent="0.25">
      <c r="B103" t="s">
        <v>81</v>
      </c>
      <c r="C103">
        <v>0.05</v>
      </c>
      <c r="D103" t="s">
        <v>83</v>
      </c>
    </row>
    <row r="104" spans="2:4" x14ac:dyDescent="0.25">
      <c r="B104" t="s">
        <v>82</v>
      </c>
      <c r="C104">
        <v>3000</v>
      </c>
      <c r="D104" t="s">
        <v>84</v>
      </c>
    </row>
    <row r="106" spans="2:4" x14ac:dyDescent="0.25">
      <c r="B106" t="s">
        <v>82</v>
      </c>
      <c r="C106" s="15">
        <f>((173*C107*(C108)^0.5)/(C109*1000^0.5))*100</f>
        <v>43.25</v>
      </c>
      <c r="D106" t="s">
        <v>84</v>
      </c>
    </row>
    <row r="107" spans="2:4" x14ac:dyDescent="0.25">
      <c r="B107" t="s">
        <v>80</v>
      </c>
      <c r="C107">
        <v>1</v>
      </c>
    </row>
    <row r="108" spans="2:4" x14ac:dyDescent="0.25">
      <c r="B108" t="s">
        <v>81</v>
      </c>
      <c r="C108">
        <v>2.5000000000000001E-2</v>
      </c>
      <c r="D108" t="s">
        <v>83</v>
      </c>
    </row>
    <row r="109" spans="2:4" x14ac:dyDescent="0.25">
      <c r="B109" t="s">
        <v>78</v>
      </c>
      <c r="C109">
        <v>2</v>
      </c>
      <c r="D109" t="s">
        <v>79</v>
      </c>
    </row>
    <row r="111" spans="2:4" x14ac:dyDescent="0.25">
      <c r="C111" t="s">
        <v>73</v>
      </c>
    </row>
    <row r="112" spans="2:4" x14ac:dyDescent="0.25">
      <c r="B112" t="s">
        <v>72</v>
      </c>
      <c r="C112">
        <v>200</v>
      </c>
    </row>
    <row r="115" spans="2:5" x14ac:dyDescent="0.25">
      <c r="B115" t="s">
        <v>71</v>
      </c>
      <c r="C115" s="13" t="s">
        <v>75</v>
      </c>
      <c r="E115" t="s">
        <v>76</v>
      </c>
    </row>
    <row r="116" spans="2:5" x14ac:dyDescent="0.25">
      <c r="C116" s="14">
        <f>-5.3+4.9*LOG(C112)</f>
        <v>5.9750469787535083</v>
      </c>
      <c r="E116" t="s">
        <v>74</v>
      </c>
    </row>
    <row r="117" spans="2:5" x14ac:dyDescent="0.25">
      <c r="C117">
        <v>6</v>
      </c>
      <c r="E117" t="s">
        <v>77</v>
      </c>
    </row>
    <row r="123" spans="2:5" x14ac:dyDescent="0.25">
      <c r="B123" t="s">
        <v>78</v>
      </c>
      <c r="C123" s="15">
        <f>((173*C124*(C125)^0.5)/(C126*1000^0.5))*100</f>
        <v>4.0776491048424235E-2</v>
      </c>
      <c r="D123" t="s">
        <v>79</v>
      </c>
    </row>
    <row r="124" spans="2:5" x14ac:dyDescent="0.25">
      <c r="B124" t="s">
        <v>80</v>
      </c>
      <c r="C124">
        <v>1</v>
      </c>
    </row>
    <row r="125" spans="2:5" x14ac:dyDescent="0.25">
      <c r="B125" t="s">
        <v>81</v>
      </c>
      <c r="C125">
        <v>0.05</v>
      </c>
      <c r="D125" t="s">
        <v>83</v>
      </c>
    </row>
    <row r="126" spans="2:5" x14ac:dyDescent="0.25">
      <c r="B126" t="s">
        <v>82</v>
      </c>
      <c r="C126">
        <v>3000</v>
      </c>
      <c r="D126" t="s">
        <v>84</v>
      </c>
    </row>
    <row r="128" spans="2:5" x14ac:dyDescent="0.25">
      <c r="B128" t="s">
        <v>82</v>
      </c>
      <c r="C128" s="15">
        <f>((173*C129*(C130)^0.5)/(C131*1000^0.5))*100</f>
        <v>43.25</v>
      </c>
      <c r="D128" t="s">
        <v>84</v>
      </c>
    </row>
    <row r="129" spans="2:5" x14ac:dyDescent="0.25">
      <c r="B129" t="s">
        <v>80</v>
      </c>
      <c r="C129">
        <v>1</v>
      </c>
    </row>
    <row r="130" spans="2:5" x14ac:dyDescent="0.25">
      <c r="B130" t="s">
        <v>81</v>
      </c>
      <c r="C130">
        <v>2.5000000000000001E-2</v>
      </c>
      <c r="D130" t="s">
        <v>83</v>
      </c>
    </row>
    <row r="131" spans="2:5" x14ac:dyDescent="0.25">
      <c r="B131" t="s">
        <v>78</v>
      </c>
      <c r="C131">
        <v>2</v>
      </c>
      <c r="D131" t="s">
        <v>79</v>
      </c>
    </row>
    <row r="133" spans="2:5" x14ac:dyDescent="0.25">
      <c r="C133" t="s">
        <v>73</v>
      </c>
    </row>
    <row r="134" spans="2:5" x14ac:dyDescent="0.25">
      <c r="B134" t="s">
        <v>72</v>
      </c>
      <c r="C134">
        <v>200</v>
      </c>
    </row>
    <row r="137" spans="2:5" x14ac:dyDescent="0.25">
      <c r="B137" t="s">
        <v>71</v>
      </c>
      <c r="C137" s="13" t="s">
        <v>75</v>
      </c>
      <c r="E137" t="s">
        <v>76</v>
      </c>
    </row>
    <row r="138" spans="2:5" x14ac:dyDescent="0.25">
      <c r="C138" s="14">
        <f>-5.3+4.9*LOG(C134)</f>
        <v>5.9750469787535083</v>
      </c>
      <c r="E138" t="s">
        <v>74</v>
      </c>
    </row>
    <row r="139" spans="2:5" x14ac:dyDescent="0.25">
      <c r="C139">
        <v>6</v>
      </c>
      <c r="E139" t="s">
        <v>77</v>
      </c>
    </row>
    <row r="145" spans="2:5" x14ac:dyDescent="0.25">
      <c r="B145" t="s">
        <v>78</v>
      </c>
      <c r="C145" s="15">
        <f>((173*C146*(C147)^0.5)/(C148*1000^0.5))*100</f>
        <v>4.0776491048424235E-2</v>
      </c>
      <c r="D145" t="s">
        <v>79</v>
      </c>
    </row>
    <row r="146" spans="2:5" x14ac:dyDescent="0.25">
      <c r="B146" t="s">
        <v>80</v>
      </c>
      <c r="C146">
        <v>1</v>
      </c>
    </row>
    <row r="147" spans="2:5" x14ac:dyDescent="0.25">
      <c r="B147" t="s">
        <v>81</v>
      </c>
      <c r="C147">
        <v>0.05</v>
      </c>
      <c r="D147" t="s">
        <v>83</v>
      </c>
    </row>
    <row r="148" spans="2:5" x14ac:dyDescent="0.25">
      <c r="B148" t="s">
        <v>82</v>
      </c>
      <c r="C148">
        <v>3000</v>
      </c>
      <c r="D148" t="s">
        <v>84</v>
      </c>
    </row>
    <row r="150" spans="2:5" x14ac:dyDescent="0.25">
      <c r="B150" t="s">
        <v>82</v>
      </c>
      <c r="C150" s="15">
        <f>((173*C151*(C152)^0.5)/(C153*1000^0.5))*100</f>
        <v>43.25</v>
      </c>
      <c r="D150" t="s">
        <v>84</v>
      </c>
    </row>
    <row r="151" spans="2:5" x14ac:dyDescent="0.25">
      <c r="B151" t="s">
        <v>80</v>
      </c>
      <c r="C151">
        <v>1</v>
      </c>
    </row>
    <row r="152" spans="2:5" x14ac:dyDescent="0.25">
      <c r="B152" t="s">
        <v>81</v>
      </c>
      <c r="C152">
        <v>2.5000000000000001E-2</v>
      </c>
      <c r="D152" t="s">
        <v>83</v>
      </c>
    </row>
    <row r="153" spans="2:5" x14ac:dyDescent="0.25">
      <c r="B153" t="s">
        <v>78</v>
      </c>
      <c r="C153">
        <v>2</v>
      </c>
      <c r="D153" t="s">
        <v>79</v>
      </c>
    </row>
    <row r="155" spans="2:5" x14ac:dyDescent="0.25">
      <c r="C155" t="s">
        <v>73</v>
      </c>
    </row>
    <row r="156" spans="2:5" x14ac:dyDescent="0.25">
      <c r="B156" t="s">
        <v>72</v>
      </c>
      <c r="C156">
        <v>200</v>
      </c>
    </row>
    <row r="159" spans="2:5" x14ac:dyDescent="0.25">
      <c r="B159" t="s">
        <v>71</v>
      </c>
      <c r="C159" s="13" t="s">
        <v>75</v>
      </c>
      <c r="E159" t="s">
        <v>76</v>
      </c>
    </row>
    <row r="160" spans="2:5" x14ac:dyDescent="0.25">
      <c r="C160" s="14">
        <f>-5.3+4.9*LOG(C156)</f>
        <v>5.9750469787535083</v>
      </c>
      <c r="E160" t="s">
        <v>74</v>
      </c>
    </row>
    <row r="161" spans="2:5" x14ac:dyDescent="0.25">
      <c r="C161">
        <v>6</v>
      </c>
      <c r="E161" t="s">
        <v>77</v>
      </c>
    </row>
    <row r="167" spans="2:5" x14ac:dyDescent="0.25">
      <c r="B167" t="s">
        <v>78</v>
      </c>
      <c r="C167" s="15">
        <f>((173*C168*(C169)^0.5)/(C170*1000^0.5))*100</f>
        <v>4.0776491048424235E-2</v>
      </c>
      <c r="D167" t="s">
        <v>79</v>
      </c>
    </row>
    <row r="168" spans="2:5" x14ac:dyDescent="0.25">
      <c r="B168" t="s">
        <v>80</v>
      </c>
      <c r="C168">
        <v>1</v>
      </c>
    </row>
    <row r="169" spans="2:5" x14ac:dyDescent="0.25">
      <c r="B169" t="s">
        <v>81</v>
      </c>
      <c r="C169">
        <v>0.05</v>
      </c>
      <c r="D169" t="s">
        <v>83</v>
      </c>
    </row>
    <row r="170" spans="2:5" x14ac:dyDescent="0.25">
      <c r="B170" t="s">
        <v>82</v>
      </c>
      <c r="C170">
        <v>3000</v>
      </c>
      <c r="D170" t="s">
        <v>84</v>
      </c>
    </row>
    <row r="172" spans="2:5" x14ac:dyDescent="0.25">
      <c r="B172" t="s">
        <v>82</v>
      </c>
      <c r="C172" s="15">
        <f>((173*C173*(C174)^0.5)/(C175*1000^0.5))*100</f>
        <v>43.25</v>
      </c>
      <c r="D172" t="s">
        <v>84</v>
      </c>
    </row>
    <row r="173" spans="2:5" x14ac:dyDescent="0.25">
      <c r="B173" t="s">
        <v>80</v>
      </c>
      <c r="C173">
        <v>1</v>
      </c>
    </row>
    <row r="174" spans="2:5" x14ac:dyDescent="0.25">
      <c r="B174" t="s">
        <v>81</v>
      </c>
      <c r="C174">
        <v>2.5000000000000001E-2</v>
      </c>
      <c r="D174" t="s">
        <v>83</v>
      </c>
    </row>
    <row r="175" spans="2:5" x14ac:dyDescent="0.25">
      <c r="B175" t="s">
        <v>78</v>
      </c>
      <c r="C175">
        <v>2</v>
      </c>
      <c r="D175" t="s">
        <v>79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O22"/>
  <sheetViews>
    <sheetView workbookViewId="0">
      <selection activeCell="I3" sqref="I3:L22"/>
    </sheetView>
  </sheetViews>
  <sheetFormatPr defaultRowHeight="15" x14ac:dyDescent="0.25"/>
  <cols>
    <col min="2" max="2" width="37" customWidth="1"/>
    <col min="3" max="3" width="17.7109375" customWidth="1"/>
    <col min="6" max="6" width="11.28515625" customWidth="1"/>
    <col min="7" max="7" width="13" customWidth="1"/>
    <col min="9" max="10" width="11.5703125" customWidth="1"/>
    <col min="12" max="12" width="7.140625" customWidth="1"/>
    <col min="13" max="13" width="9.42578125" customWidth="1"/>
  </cols>
  <sheetData>
    <row r="1" spans="1:15" x14ac:dyDescent="0.25">
      <c r="A1" s="137" t="s">
        <v>0</v>
      </c>
      <c r="B1" s="137" t="s">
        <v>1</v>
      </c>
      <c r="C1" s="137" t="s">
        <v>10</v>
      </c>
      <c r="D1" s="137" t="s">
        <v>11</v>
      </c>
      <c r="E1" s="137" t="s">
        <v>12</v>
      </c>
      <c r="F1" s="137" t="s">
        <v>2</v>
      </c>
      <c r="G1" s="137" t="s">
        <v>3</v>
      </c>
      <c r="H1" s="12"/>
      <c r="I1" s="142" t="s">
        <v>28</v>
      </c>
      <c r="J1" s="142"/>
      <c r="K1" s="142"/>
      <c r="L1" s="142"/>
      <c r="M1" s="138" t="s">
        <v>93</v>
      </c>
      <c r="N1" t="s">
        <v>94</v>
      </c>
      <c r="O1" t="s">
        <v>98</v>
      </c>
    </row>
    <row r="2" spans="1:15" x14ac:dyDescent="0.25">
      <c r="A2" s="138"/>
      <c r="B2" s="138"/>
      <c r="C2" s="139"/>
      <c r="D2" s="139"/>
      <c r="E2" s="139"/>
      <c r="F2" s="138"/>
      <c r="G2" s="138"/>
      <c r="H2" s="11" t="s">
        <v>94</v>
      </c>
      <c r="I2" s="16">
        <v>30</v>
      </c>
      <c r="J2" s="16">
        <v>10</v>
      </c>
      <c r="K2" s="16">
        <v>2</v>
      </c>
      <c r="L2" s="16">
        <v>1.2</v>
      </c>
      <c r="M2" s="143"/>
      <c r="N2" t="s">
        <v>82</v>
      </c>
    </row>
    <row r="3" spans="1:15" x14ac:dyDescent="0.25">
      <c r="A3" s="144">
        <v>1</v>
      </c>
      <c r="B3" s="140" t="s">
        <v>89</v>
      </c>
      <c r="C3" s="7">
        <v>146</v>
      </c>
      <c r="D3" s="7">
        <v>1</v>
      </c>
      <c r="E3" s="7">
        <v>0</v>
      </c>
      <c r="F3" s="7"/>
      <c r="G3" s="7"/>
      <c r="H3" s="7"/>
      <c r="I3" s="8">
        <f>((377*$D3*10^($E3/10))/(4*PI()*$I$2^2))^0.5</f>
        <v>0.18257633646359869</v>
      </c>
      <c r="J3" s="8">
        <f>((377*$D3*10^($E3/10))/(4*PI()*$J$2^2))^0.5</f>
        <v>0.54772900939079605</v>
      </c>
      <c r="K3" s="8">
        <f>((377*$D3*10^($E3/10))/(4*PI()*$K$2^2))^0.5</f>
        <v>2.7386450469539803</v>
      </c>
      <c r="L3" s="8">
        <f>((377*$D3*10^($E3/10))/(4*PI()*$L$2^2))^0.5</f>
        <v>4.5644084115899668</v>
      </c>
      <c r="M3" s="6"/>
      <c r="N3" s="19">
        <f>(300/C3)*3</f>
        <v>6.1643835616438363</v>
      </c>
      <c r="O3" s="19">
        <f>((450/C3)*D3^0.5)/3.3</f>
        <v>0.93399750933997516</v>
      </c>
    </row>
    <row r="4" spans="1:15" x14ac:dyDescent="0.25">
      <c r="A4" s="145"/>
      <c r="B4" s="141"/>
      <c r="C4" s="7">
        <v>174</v>
      </c>
      <c r="D4" s="7">
        <v>5</v>
      </c>
      <c r="E4" s="7">
        <v>0</v>
      </c>
      <c r="F4" s="7"/>
      <c r="G4" s="7"/>
      <c r="H4" s="7"/>
      <c r="I4" s="8">
        <f t="shared" ref="I4:I22" si="0">((377*$D4*10^($E4/10))/(4*PI()*$I$2^2))^0.5</f>
        <v>0.40825309941548021</v>
      </c>
      <c r="J4" s="8">
        <f t="shared" ref="J4:J22" si="1">((377*$D4*10^($E4/10))/(4*PI()*$J$2^2))^0.5</f>
        <v>1.2247592982464406</v>
      </c>
      <c r="K4" s="8">
        <f t="shared" ref="K4:K22" si="2">((377*$D4*10^($E4/10))/(4*PI()*$K$2^2))^0.5</f>
        <v>6.1237964912322029</v>
      </c>
      <c r="L4" s="8">
        <f t="shared" ref="L4:L22" si="3">((377*$D4*10^($E4/10))/(4*PI()*$L$2^2))^0.5</f>
        <v>10.206327485387005</v>
      </c>
      <c r="M4" s="6"/>
      <c r="N4" s="19">
        <f t="shared" ref="N4:N22" si="4">(300/C4)*3</f>
        <v>5.1724137931034484</v>
      </c>
      <c r="O4" s="19">
        <f t="shared" ref="O4:O22" si="5">((450/C4)*D4^0.5)/3.3</f>
        <v>1.7524043710813402</v>
      </c>
    </row>
    <row r="5" spans="1:15" x14ac:dyDescent="0.25">
      <c r="A5" s="144">
        <v>2</v>
      </c>
      <c r="B5" s="140" t="s">
        <v>85</v>
      </c>
      <c r="C5" s="7">
        <v>880</v>
      </c>
      <c r="D5" s="7">
        <v>2</v>
      </c>
      <c r="E5" s="7">
        <v>0</v>
      </c>
      <c r="F5" s="7"/>
      <c r="G5" s="7"/>
      <c r="H5" s="7"/>
      <c r="I5" s="8">
        <f t="shared" si="0"/>
        <v>0.25820193119521467</v>
      </c>
      <c r="J5" s="8">
        <f t="shared" si="1"/>
        <v>0.77460579358564408</v>
      </c>
      <c r="K5" s="8">
        <f t="shared" si="2"/>
        <v>3.8730289679282204</v>
      </c>
      <c r="L5" s="8">
        <f t="shared" si="3"/>
        <v>6.4550482798803674</v>
      </c>
      <c r="M5" s="6"/>
      <c r="N5" s="19">
        <f t="shared" si="4"/>
        <v>1.0227272727272727</v>
      </c>
      <c r="O5" s="19">
        <f t="shared" si="5"/>
        <v>0.2191446635908722</v>
      </c>
    </row>
    <row r="6" spans="1:15" x14ac:dyDescent="0.25">
      <c r="A6" s="145"/>
      <c r="B6" s="141"/>
      <c r="C6" s="7">
        <v>915</v>
      </c>
      <c r="D6" s="7">
        <v>2</v>
      </c>
      <c r="E6" s="7">
        <v>0</v>
      </c>
      <c r="F6" s="7"/>
      <c r="G6" s="7"/>
      <c r="H6" s="7"/>
      <c r="I6" s="8">
        <f t="shared" si="0"/>
        <v>0.25820193119521467</v>
      </c>
      <c r="J6" s="8">
        <f t="shared" si="1"/>
        <v>0.77460579358564408</v>
      </c>
      <c r="K6" s="8">
        <f t="shared" si="2"/>
        <v>3.8730289679282204</v>
      </c>
      <c r="L6" s="8">
        <f t="shared" si="3"/>
        <v>6.4550482798803674</v>
      </c>
      <c r="M6" s="6"/>
      <c r="N6" s="19">
        <f t="shared" si="4"/>
        <v>0.98360655737704916</v>
      </c>
      <c r="O6" s="19">
        <f t="shared" si="5"/>
        <v>0.21076208083056561</v>
      </c>
    </row>
    <row r="7" spans="1:15" x14ac:dyDescent="0.25">
      <c r="A7" s="144">
        <v>3</v>
      </c>
      <c r="B7" s="140" t="s">
        <v>86</v>
      </c>
      <c r="C7" s="7">
        <v>1710</v>
      </c>
      <c r="D7" s="7">
        <v>1</v>
      </c>
      <c r="E7" s="7">
        <v>0</v>
      </c>
      <c r="F7" s="7"/>
      <c r="G7" s="7"/>
      <c r="H7" s="7"/>
      <c r="I7" s="8">
        <f t="shared" si="0"/>
        <v>0.18257633646359869</v>
      </c>
      <c r="J7" s="8">
        <f t="shared" si="1"/>
        <v>0.54772900939079605</v>
      </c>
      <c r="K7" s="8">
        <f t="shared" si="2"/>
        <v>2.7386450469539803</v>
      </c>
      <c r="L7" s="8">
        <f t="shared" si="3"/>
        <v>4.5644084115899668</v>
      </c>
      <c r="M7" s="6"/>
      <c r="N7" s="19">
        <f t="shared" si="4"/>
        <v>0.52631578947368418</v>
      </c>
      <c r="O7" s="19">
        <f t="shared" si="5"/>
        <v>7.9744816586921854E-2</v>
      </c>
    </row>
    <row r="8" spans="1:15" x14ac:dyDescent="0.25">
      <c r="A8" s="145"/>
      <c r="B8" s="141"/>
      <c r="C8" s="7">
        <v>1785</v>
      </c>
      <c r="D8" s="7">
        <v>1</v>
      </c>
      <c r="E8" s="7">
        <v>0</v>
      </c>
      <c r="F8" s="7"/>
      <c r="G8" s="7"/>
      <c r="H8" s="7"/>
      <c r="I8" s="8">
        <f t="shared" si="0"/>
        <v>0.18257633646359869</v>
      </c>
      <c r="J8" s="8">
        <f t="shared" si="1"/>
        <v>0.54772900939079605</v>
      </c>
      <c r="K8" s="8">
        <f t="shared" si="2"/>
        <v>2.7386450469539803</v>
      </c>
      <c r="L8" s="8">
        <f t="shared" si="3"/>
        <v>4.5644084115899668</v>
      </c>
      <c r="M8" s="6"/>
      <c r="N8" s="19">
        <f t="shared" si="4"/>
        <v>0.50420168067226889</v>
      </c>
      <c r="O8" s="19">
        <f t="shared" si="5"/>
        <v>7.6394194041252861E-2</v>
      </c>
    </row>
    <row r="9" spans="1:15" x14ac:dyDescent="0.25">
      <c r="A9" s="144">
        <v>4</v>
      </c>
      <c r="B9" s="140" t="s">
        <v>90</v>
      </c>
      <c r="C9" s="17">
        <v>2400</v>
      </c>
      <c r="D9" s="17">
        <v>0.1</v>
      </c>
      <c r="E9" s="7">
        <v>0</v>
      </c>
      <c r="F9" s="5"/>
      <c r="G9" s="5"/>
      <c r="H9" s="5"/>
      <c r="I9" s="8">
        <f t="shared" si="0"/>
        <v>5.7735707007422359E-2</v>
      </c>
      <c r="J9" s="8">
        <f t="shared" si="1"/>
        <v>0.17320712102226707</v>
      </c>
      <c r="K9" s="8">
        <f t="shared" si="2"/>
        <v>0.86603560511133537</v>
      </c>
      <c r="L9" s="8">
        <f t="shared" si="3"/>
        <v>1.443392675185559</v>
      </c>
      <c r="M9" s="5"/>
      <c r="N9" s="19">
        <f t="shared" si="4"/>
        <v>0.375</v>
      </c>
      <c r="O9" s="19">
        <f t="shared" si="5"/>
        <v>1.7967486705502154E-2</v>
      </c>
    </row>
    <row r="10" spans="1:15" x14ac:dyDescent="0.25">
      <c r="A10" s="145"/>
      <c r="B10" s="141"/>
      <c r="C10" s="17">
        <v>2484</v>
      </c>
      <c r="D10" s="17">
        <v>0.1</v>
      </c>
      <c r="E10" s="7">
        <v>0</v>
      </c>
      <c r="F10" s="5"/>
      <c r="G10" s="5"/>
      <c r="H10" s="5"/>
      <c r="I10" s="8">
        <f t="shared" si="0"/>
        <v>5.7735707007422359E-2</v>
      </c>
      <c r="J10" s="8">
        <f t="shared" si="1"/>
        <v>0.17320712102226707</v>
      </c>
      <c r="K10" s="8">
        <f t="shared" si="2"/>
        <v>0.86603560511133537</v>
      </c>
      <c r="L10" s="8">
        <f t="shared" si="3"/>
        <v>1.443392675185559</v>
      </c>
      <c r="M10" s="5"/>
      <c r="N10" s="19">
        <f t="shared" si="4"/>
        <v>0.36231884057971014</v>
      </c>
      <c r="O10" s="19">
        <f t="shared" si="5"/>
        <v>1.7359890536717059E-2</v>
      </c>
    </row>
    <row r="11" spans="1:15" x14ac:dyDescent="0.25">
      <c r="A11" s="140">
        <v>5</v>
      </c>
      <c r="B11" s="140" t="s">
        <v>90</v>
      </c>
      <c r="C11" s="17">
        <v>5150</v>
      </c>
      <c r="D11" s="17">
        <v>0.1</v>
      </c>
      <c r="E11" s="7">
        <v>0</v>
      </c>
      <c r="F11" s="5"/>
      <c r="G11" s="5"/>
      <c r="H11" s="5"/>
      <c r="I11" s="8">
        <f t="shared" si="0"/>
        <v>5.7735707007422359E-2</v>
      </c>
      <c r="J11" s="8">
        <f t="shared" si="1"/>
        <v>0.17320712102226707</v>
      </c>
      <c r="K11" s="8">
        <f t="shared" si="2"/>
        <v>0.86603560511133537</v>
      </c>
      <c r="L11" s="8">
        <f t="shared" si="3"/>
        <v>1.443392675185559</v>
      </c>
      <c r="M11" s="5"/>
      <c r="N11" s="19">
        <f t="shared" si="4"/>
        <v>0.17475728155339806</v>
      </c>
      <c r="O11" s="19">
        <f t="shared" si="5"/>
        <v>8.3731976880010058E-3</v>
      </c>
    </row>
    <row r="12" spans="1:15" x14ac:dyDescent="0.25">
      <c r="A12" s="141"/>
      <c r="B12" s="141"/>
      <c r="C12" s="17">
        <v>5850</v>
      </c>
      <c r="D12" s="17">
        <v>0.1</v>
      </c>
      <c r="E12" s="7">
        <v>0</v>
      </c>
      <c r="F12" s="5"/>
      <c r="G12" s="5"/>
      <c r="H12" s="5"/>
      <c r="I12" s="8">
        <f t="shared" si="0"/>
        <v>5.7735707007422359E-2</v>
      </c>
      <c r="J12" s="8">
        <f t="shared" si="1"/>
        <v>0.17320712102226707</v>
      </c>
      <c r="K12" s="8">
        <f t="shared" si="2"/>
        <v>0.86603560511133537</v>
      </c>
      <c r="L12" s="8">
        <f t="shared" si="3"/>
        <v>1.443392675185559</v>
      </c>
      <c r="M12" s="5"/>
      <c r="N12" s="19">
        <f t="shared" si="4"/>
        <v>0.15384615384615385</v>
      </c>
      <c r="O12" s="19">
        <f t="shared" si="5"/>
        <v>7.3712765971290905E-3</v>
      </c>
    </row>
    <row r="13" spans="1:15" x14ac:dyDescent="0.25">
      <c r="A13" s="140">
        <v>6</v>
      </c>
      <c r="B13" s="140" t="s">
        <v>91</v>
      </c>
      <c r="C13" s="17">
        <v>2401</v>
      </c>
      <c r="D13" s="17">
        <v>2.5000000000000001E-2</v>
      </c>
      <c r="E13" s="7">
        <v>0</v>
      </c>
      <c r="F13" s="5"/>
      <c r="G13" s="5"/>
      <c r="H13" s="5"/>
      <c r="I13" s="8">
        <f t="shared" si="0"/>
        <v>2.8867853503711179E-2</v>
      </c>
      <c r="J13" s="8">
        <f t="shared" si="1"/>
        <v>8.6603560511133534E-2</v>
      </c>
      <c r="K13" s="8">
        <f t="shared" si="2"/>
        <v>0.43301780255566769</v>
      </c>
      <c r="L13" s="8">
        <f t="shared" si="3"/>
        <v>0.72169633759277951</v>
      </c>
      <c r="M13" s="5"/>
      <c r="N13" s="19">
        <f t="shared" si="4"/>
        <v>0.37484381507705122</v>
      </c>
      <c r="O13" s="19">
        <f t="shared" si="5"/>
        <v>8.980001685382169E-3</v>
      </c>
    </row>
    <row r="14" spans="1:15" x14ac:dyDescent="0.25">
      <c r="A14" s="141"/>
      <c r="B14" s="141"/>
      <c r="C14" s="17">
        <v>2408</v>
      </c>
      <c r="D14" s="17">
        <v>2.5000000000000001E-2</v>
      </c>
      <c r="E14" s="7">
        <v>0</v>
      </c>
      <c r="F14" s="5"/>
      <c r="G14" s="5"/>
      <c r="H14" s="5"/>
      <c r="I14" s="8">
        <f t="shared" si="0"/>
        <v>2.8867853503711179E-2</v>
      </c>
      <c r="J14" s="8">
        <f t="shared" si="1"/>
        <v>8.6603560511133534E-2</v>
      </c>
      <c r="K14" s="8">
        <f t="shared" si="2"/>
        <v>0.43301780255566769</v>
      </c>
      <c r="L14" s="8">
        <f t="shared" si="3"/>
        <v>0.72169633759277951</v>
      </c>
      <c r="M14" s="5"/>
      <c r="N14" s="19">
        <f t="shared" si="4"/>
        <v>0.37375415282392027</v>
      </c>
      <c r="O14" s="19">
        <f t="shared" si="5"/>
        <v>8.9538970293200123E-3</v>
      </c>
    </row>
    <row r="15" spans="1:15" x14ac:dyDescent="0.25">
      <c r="A15" s="140">
        <v>7</v>
      </c>
      <c r="B15" s="140" t="s">
        <v>92</v>
      </c>
      <c r="C15" s="17">
        <v>2400</v>
      </c>
      <c r="D15" s="17">
        <v>0.1</v>
      </c>
      <c r="E15" s="7">
        <v>0</v>
      </c>
      <c r="F15" s="5"/>
      <c r="G15" s="5"/>
      <c r="H15" s="5"/>
      <c r="I15" s="8">
        <f t="shared" si="0"/>
        <v>5.7735707007422359E-2</v>
      </c>
      <c r="J15" s="8">
        <f t="shared" si="1"/>
        <v>0.17320712102226707</v>
      </c>
      <c r="K15" s="8">
        <f t="shared" si="2"/>
        <v>0.86603560511133537</v>
      </c>
      <c r="L15" s="8">
        <f t="shared" si="3"/>
        <v>1.443392675185559</v>
      </c>
      <c r="M15" s="5"/>
      <c r="N15" s="19">
        <f t="shared" si="4"/>
        <v>0.375</v>
      </c>
      <c r="O15" s="19">
        <f t="shared" si="5"/>
        <v>1.7967486705502154E-2</v>
      </c>
    </row>
    <row r="16" spans="1:15" x14ac:dyDescent="0.25">
      <c r="A16" s="141"/>
      <c r="B16" s="141"/>
      <c r="C16" s="17">
        <v>2484</v>
      </c>
      <c r="D16" s="17">
        <v>0.1</v>
      </c>
      <c r="E16" s="7">
        <v>0</v>
      </c>
      <c r="F16" s="5"/>
      <c r="G16" s="5"/>
      <c r="H16" s="5"/>
      <c r="I16" s="8">
        <f t="shared" si="0"/>
        <v>5.7735707007422359E-2</v>
      </c>
      <c r="J16" s="8">
        <f t="shared" si="1"/>
        <v>0.17320712102226707</v>
      </c>
      <c r="K16" s="8">
        <f t="shared" si="2"/>
        <v>0.86603560511133537</v>
      </c>
      <c r="L16" s="8">
        <f t="shared" si="3"/>
        <v>1.443392675185559</v>
      </c>
      <c r="M16" s="5"/>
      <c r="N16" s="19">
        <f t="shared" si="4"/>
        <v>0.36231884057971014</v>
      </c>
      <c r="O16" s="19">
        <f t="shared" si="5"/>
        <v>1.7359890536717059E-2</v>
      </c>
    </row>
    <row r="17" spans="1:15" x14ac:dyDescent="0.25">
      <c r="A17" s="140">
        <v>8</v>
      </c>
      <c r="B17" s="140" t="s">
        <v>92</v>
      </c>
      <c r="C17" s="17">
        <v>5150</v>
      </c>
      <c r="D17" s="17">
        <v>0.1</v>
      </c>
      <c r="E17" s="7">
        <v>0</v>
      </c>
      <c r="F17" s="5"/>
      <c r="G17" s="5"/>
      <c r="H17" s="5"/>
      <c r="I17" s="8">
        <f t="shared" si="0"/>
        <v>5.7735707007422359E-2</v>
      </c>
      <c r="J17" s="8">
        <f t="shared" si="1"/>
        <v>0.17320712102226707</v>
      </c>
      <c r="K17" s="8">
        <f t="shared" si="2"/>
        <v>0.86603560511133537</v>
      </c>
      <c r="L17" s="8">
        <f t="shared" si="3"/>
        <v>1.443392675185559</v>
      </c>
      <c r="M17" s="5"/>
      <c r="N17" s="19">
        <f t="shared" si="4"/>
        <v>0.17475728155339806</v>
      </c>
      <c r="O17" s="19">
        <f t="shared" si="5"/>
        <v>8.3731976880010058E-3</v>
      </c>
    </row>
    <row r="18" spans="1:15" x14ac:dyDescent="0.25">
      <c r="A18" s="141"/>
      <c r="B18" s="141"/>
      <c r="C18" s="17">
        <v>5850</v>
      </c>
      <c r="D18" s="17">
        <v>0.1</v>
      </c>
      <c r="E18" s="7">
        <v>0</v>
      </c>
      <c r="F18" s="5"/>
      <c r="G18" s="5"/>
      <c r="H18" s="5"/>
      <c r="I18" s="8">
        <f t="shared" si="0"/>
        <v>5.7735707007422359E-2</v>
      </c>
      <c r="J18" s="8">
        <f t="shared" si="1"/>
        <v>0.17320712102226707</v>
      </c>
      <c r="K18" s="8">
        <f t="shared" si="2"/>
        <v>0.86603560511133537</v>
      </c>
      <c r="L18" s="8">
        <f t="shared" si="3"/>
        <v>1.443392675185559</v>
      </c>
      <c r="M18" s="5"/>
      <c r="N18" s="19">
        <f t="shared" si="4"/>
        <v>0.15384615384615385</v>
      </c>
      <c r="O18" s="19">
        <f t="shared" si="5"/>
        <v>7.3712765971290905E-3</v>
      </c>
    </row>
    <row r="19" spans="1:15" x14ac:dyDescent="0.25">
      <c r="A19" s="140">
        <v>9</v>
      </c>
      <c r="B19" s="140" t="s">
        <v>87</v>
      </c>
      <c r="C19" s="17">
        <v>2401</v>
      </c>
      <c r="D19" s="17">
        <v>0.1</v>
      </c>
      <c r="E19" s="7">
        <v>0</v>
      </c>
      <c r="F19" s="5"/>
      <c r="G19" s="5"/>
      <c r="H19" s="5"/>
      <c r="I19" s="8">
        <f t="shared" si="0"/>
        <v>5.7735707007422359E-2</v>
      </c>
      <c r="J19" s="8">
        <f t="shared" si="1"/>
        <v>0.17320712102226707</v>
      </c>
      <c r="K19" s="8">
        <f t="shared" si="2"/>
        <v>0.86603560511133537</v>
      </c>
      <c r="L19" s="8">
        <f t="shared" si="3"/>
        <v>1.443392675185559</v>
      </c>
      <c r="M19" s="5"/>
      <c r="N19" s="19">
        <f t="shared" si="4"/>
        <v>0.37484381507705122</v>
      </c>
      <c r="O19" s="19">
        <f t="shared" si="5"/>
        <v>1.7960003370764338E-2</v>
      </c>
    </row>
    <row r="20" spans="1:15" x14ac:dyDescent="0.25">
      <c r="A20" s="141"/>
      <c r="B20" s="141"/>
      <c r="C20" s="17">
        <v>2408</v>
      </c>
      <c r="D20" s="17">
        <v>0.1</v>
      </c>
      <c r="E20" s="7">
        <v>0</v>
      </c>
      <c r="F20" s="5"/>
      <c r="G20" s="5"/>
      <c r="H20" s="5"/>
      <c r="I20" s="8">
        <f t="shared" si="0"/>
        <v>5.7735707007422359E-2</v>
      </c>
      <c r="J20" s="8">
        <f t="shared" si="1"/>
        <v>0.17320712102226707</v>
      </c>
      <c r="K20" s="8">
        <f t="shared" si="2"/>
        <v>0.86603560511133537</v>
      </c>
      <c r="L20" s="8">
        <f t="shared" si="3"/>
        <v>1.443392675185559</v>
      </c>
      <c r="M20" s="5"/>
      <c r="N20" s="19">
        <f t="shared" si="4"/>
        <v>0.37375415282392027</v>
      </c>
      <c r="O20" s="19">
        <f t="shared" si="5"/>
        <v>1.7907794058640025E-2</v>
      </c>
    </row>
    <row r="21" spans="1:15" x14ac:dyDescent="0.25">
      <c r="A21" s="140">
        <v>10</v>
      </c>
      <c r="B21" s="140" t="s">
        <v>88</v>
      </c>
      <c r="C21" s="17">
        <v>699</v>
      </c>
      <c r="D21" s="17">
        <v>0.25</v>
      </c>
      <c r="E21" s="7">
        <v>0</v>
      </c>
      <c r="F21" s="5"/>
      <c r="G21" s="5"/>
      <c r="H21" s="5"/>
      <c r="I21" s="8">
        <f t="shared" si="0"/>
        <v>9.1288168231799346E-2</v>
      </c>
      <c r="J21" s="8">
        <f t="shared" si="1"/>
        <v>0.27386450469539803</v>
      </c>
      <c r="K21" s="8">
        <f t="shared" si="2"/>
        <v>1.3693225234769901</v>
      </c>
      <c r="L21" s="8">
        <f t="shared" si="3"/>
        <v>2.2822042057949834</v>
      </c>
      <c r="M21" s="5">
        <v>0.15</v>
      </c>
      <c r="N21" s="19">
        <f t="shared" si="4"/>
        <v>1.2875536480686696</v>
      </c>
      <c r="O21" s="19">
        <f t="shared" si="5"/>
        <v>9.7541943035505271E-2</v>
      </c>
    </row>
    <row r="22" spans="1:15" x14ac:dyDescent="0.25">
      <c r="A22" s="141"/>
      <c r="B22" s="141"/>
      <c r="C22" s="17">
        <v>3499</v>
      </c>
      <c r="D22" s="17">
        <v>0.25</v>
      </c>
      <c r="E22" s="7">
        <v>0</v>
      </c>
      <c r="F22" s="5"/>
      <c r="G22" s="5"/>
      <c r="H22" s="5"/>
      <c r="I22" s="8">
        <f t="shared" si="0"/>
        <v>9.1288168231799346E-2</v>
      </c>
      <c r="J22" s="8">
        <f t="shared" si="1"/>
        <v>0.27386450469539803</v>
      </c>
      <c r="K22" s="8">
        <f t="shared" si="2"/>
        <v>1.3693225234769901</v>
      </c>
      <c r="L22" s="8">
        <f t="shared" si="3"/>
        <v>2.2822042057949834</v>
      </c>
      <c r="M22" s="5"/>
      <c r="N22" s="19">
        <f t="shared" si="4"/>
        <v>0.25721634752786515</v>
      </c>
      <c r="O22" s="19">
        <f t="shared" si="5"/>
        <v>1.9486086933929177E-2</v>
      </c>
    </row>
  </sheetData>
  <mergeCells count="29">
    <mergeCell ref="A21:A22"/>
    <mergeCell ref="B21:B22"/>
    <mergeCell ref="A3:A4"/>
    <mergeCell ref="A5:A6"/>
    <mergeCell ref="A7:A8"/>
    <mergeCell ref="A9:A10"/>
    <mergeCell ref="A11:A12"/>
    <mergeCell ref="A13:A14"/>
    <mergeCell ref="A15:A16"/>
    <mergeCell ref="A17:A18"/>
    <mergeCell ref="A19:A20"/>
    <mergeCell ref="B9:B10"/>
    <mergeCell ref="B11:B12"/>
    <mergeCell ref="B13:B14"/>
    <mergeCell ref="B15:B16"/>
    <mergeCell ref="B17:B18"/>
    <mergeCell ref="B19:B20"/>
    <mergeCell ref="G1:G2"/>
    <mergeCell ref="I1:L1"/>
    <mergeCell ref="M1:M2"/>
    <mergeCell ref="B3:B4"/>
    <mergeCell ref="B5:B6"/>
    <mergeCell ref="B7:B8"/>
    <mergeCell ref="F1:F2"/>
    <mergeCell ref="A1:A2"/>
    <mergeCell ref="B1:B2"/>
    <mergeCell ref="C1:C2"/>
    <mergeCell ref="D1:D2"/>
    <mergeCell ref="E1:E2"/>
  </mergeCells>
  <conditionalFormatting sqref="M8">
    <cfRule type="cellIs" dxfId="4" priority="2" operator="greaterThan">
      <formula>N3</formula>
    </cfRule>
  </conditionalFormatting>
  <conditionalFormatting sqref="K3:K22">
    <cfRule type="cellIs" dxfId="3" priority="1" operator="greaterThan">
      <formula>$N$3</formula>
    </cfRule>
  </conditionalFormatting>
  <pageMargins left="0.7" right="0.7" top="0.75" bottom="0.75" header="0.3" footer="0.3"/>
  <pageSetup paperSize="9" scale="34" fitToHeight="0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I80"/>
  <sheetViews>
    <sheetView workbookViewId="0">
      <selection activeCell="B2" sqref="B2:D4"/>
    </sheetView>
  </sheetViews>
  <sheetFormatPr defaultRowHeight="15" x14ac:dyDescent="0.25"/>
  <cols>
    <col min="2" max="2" width="13.28515625" customWidth="1"/>
    <col min="3" max="3" width="9.140625" style="19"/>
    <col min="4" max="4" width="12.42578125" customWidth="1"/>
  </cols>
  <sheetData>
    <row r="2" spans="1:9" ht="14.45" x14ac:dyDescent="0.3">
      <c r="A2" t="e">
        <f>'Transmitter Data'!#REF!</f>
        <v>#REF!</v>
      </c>
      <c r="B2" t="s">
        <v>82</v>
      </c>
      <c r="C2" s="18" t="e">
        <f>((450/C4)*C3^0.5)/3.3</f>
        <v>#REF!</v>
      </c>
      <c r="D2" t="s">
        <v>95</v>
      </c>
      <c r="F2" t="e">
        <f>'Transmitter Data'!#REF!</f>
        <v>#REF!</v>
      </c>
      <c r="G2" t="s">
        <v>82</v>
      </c>
      <c r="H2" s="18" t="e">
        <f>((450/H4)*H3^0.5)/3.3</f>
        <v>#REF!</v>
      </c>
      <c r="I2" t="s">
        <v>95</v>
      </c>
    </row>
    <row r="3" spans="1:9" ht="14.45" x14ac:dyDescent="0.3">
      <c r="B3" t="s">
        <v>81</v>
      </c>
      <c r="C3" s="19" t="e">
        <f>'Transmitter Data'!#REF!</f>
        <v>#REF!</v>
      </c>
      <c r="D3" t="s">
        <v>83</v>
      </c>
      <c r="G3" t="s">
        <v>81</v>
      </c>
      <c r="H3" s="19" t="e">
        <f>'Transmitter Data'!#REF!</f>
        <v>#REF!</v>
      </c>
      <c r="I3" t="s">
        <v>83</v>
      </c>
    </row>
    <row r="4" spans="1:9" ht="14.45" x14ac:dyDescent="0.3">
      <c r="B4" t="s">
        <v>72</v>
      </c>
      <c r="C4" s="19" t="e">
        <f>'Transmitter Data'!#REF!</f>
        <v>#REF!</v>
      </c>
      <c r="D4" t="s">
        <v>73</v>
      </c>
      <c r="G4" t="s">
        <v>72</v>
      </c>
      <c r="H4" s="19" t="e">
        <f>'Transmitter Data'!#REF!</f>
        <v>#REF!</v>
      </c>
      <c r="I4" t="s">
        <v>73</v>
      </c>
    </row>
    <row r="5" spans="1:9" ht="14.45" x14ac:dyDescent="0.3">
      <c r="H5" s="19"/>
    </row>
    <row r="6" spans="1:9" ht="14.45" x14ac:dyDescent="0.3">
      <c r="A6">
        <f>'Transmitter Data'!A69</f>
        <v>1</v>
      </c>
      <c r="B6" t="s">
        <v>82</v>
      </c>
      <c r="C6" s="18">
        <f>((450/C8)*C7^0.5)/3.3</f>
        <v>0.20954175661451713</v>
      </c>
      <c r="D6" t="s">
        <v>95</v>
      </c>
      <c r="F6" t="e">
        <f>'Transmitter Data'!#REF!</f>
        <v>#REF!</v>
      </c>
      <c r="G6" t="s">
        <v>82</v>
      </c>
      <c r="H6" s="18" t="e">
        <f>((450/H8)*H7^0.5)/3.3</f>
        <v>#REF!</v>
      </c>
      <c r="I6" t="s">
        <v>95</v>
      </c>
    </row>
    <row r="7" spans="1:9" ht="14.45" x14ac:dyDescent="0.3">
      <c r="B7" t="s">
        <v>81</v>
      </c>
      <c r="C7" s="19">
        <f>'Transmitter Data'!H69</f>
        <v>79.43282347242824</v>
      </c>
      <c r="D7" t="s">
        <v>83</v>
      </c>
      <c r="G7" t="s">
        <v>81</v>
      </c>
      <c r="H7" s="19" t="e">
        <f>'Transmitter Data'!#REF!</f>
        <v>#REF!</v>
      </c>
      <c r="I7" t="s">
        <v>83</v>
      </c>
    </row>
    <row r="8" spans="1:9" ht="14.45" x14ac:dyDescent="0.3">
      <c r="B8" t="s">
        <v>72</v>
      </c>
      <c r="C8" s="19">
        <f>'Transmitter Data'!C69</f>
        <v>5800</v>
      </c>
      <c r="D8" t="s">
        <v>73</v>
      </c>
      <c r="G8" t="s">
        <v>72</v>
      </c>
      <c r="H8" s="19" t="e">
        <f>'Transmitter Data'!#REF!</f>
        <v>#REF!</v>
      </c>
      <c r="I8" t="s">
        <v>73</v>
      </c>
    </row>
    <row r="9" spans="1:9" ht="14.45" x14ac:dyDescent="0.3">
      <c r="H9" s="19"/>
    </row>
    <row r="10" spans="1:9" ht="14.45" x14ac:dyDescent="0.3">
      <c r="A10" t="e">
        <f>'Transmitter Data'!#REF!</f>
        <v>#REF!</v>
      </c>
      <c r="B10" t="s">
        <v>82</v>
      </c>
      <c r="C10" s="18" t="e">
        <f>((450/C12)*C11^0.5)/3.3</f>
        <v>#REF!</v>
      </c>
      <c r="D10" t="s">
        <v>95</v>
      </c>
      <c r="F10" t="e">
        <f>'Transmitter Data'!#REF!</f>
        <v>#REF!</v>
      </c>
      <c r="G10" t="s">
        <v>82</v>
      </c>
      <c r="H10" s="18" t="e">
        <f>((450/H12)*H11^0.5)/3.3</f>
        <v>#REF!</v>
      </c>
      <c r="I10" t="s">
        <v>95</v>
      </c>
    </row>
    <row r="11" spans="1:9" ht="14.45" x14ac:dyDescent="0.3">
      <c r="B11" t="s">
        <v>81</v>
      </c>
      <c r="C11" s="19" t="e">
        <f>'Transmitter Data'!#REF!</f>
        <v>#REF!</v>
      </c>
      <c r="D11" t="s">
        <v>83</v>
      </c>
      <c r="G11" t="s">
        <v>81</v>
      </c>
      <c r="H11" s="19" t="e">
        <f>'Transmitter Data'!#REF!</f>
        <v>#REF!</v>
      </c>
      <c r="I11" t="s">
        <v>83</v>
      </c>
    </row>
    <row r="12" spans="1:9" ht="14.45" x14ac:dyDescent="0.3">
      <c r="B12" t="s">
        <v>72</v>
      </c>
      <c r="C12" s="19" t="e">
        <f>'Transmitter Data'!#REF!</f>
        <v>#REF!</v>
      </c>
      <c r="D12" t="s">
        <v>73</v>
      </c>
      <c r="G12" t="s">
        <v>72</v>
      </c>
      <c r="H12" s="19" t="e">
        <f>'Transmitter Data'!#REF!</f>
        <v>#REF!</v>
      </c>
      <c r="I12" t="s">
        <v>73</v>
      </c>
    </row>
    <row r="13" spans="1:9" ht="14.45" x14ac:dyDescent="0.3">
      <c r="H13" s="19"/>
    </row>
    <row r="14" spans="1:9" ht="14.45" x14ac:dyDescent="0.3">
      <c r="A14" t="e">
        <f>'Transmitter Data'!#REF!</f>
        <v>#REF!</v>
      </c>
      <c r="B14" t="s">
        <v>82</v>
      </c>
      <c r="C14" s="18" t="e">
        <f>((450/C16)*C15^0.5)/3.3</f>
        <v>#REF!</v>
      </c>
      <c r="D14" t="s">
        <v>95</v>
      </c>
      <c r="F14" t="e">
        <f>'Transmitter Data'!#REF!</f>
        <v>#REF!</v>
      </c>
      <c r="G14" t="s">
        <v>82</v>
      </c>
      <c r="H14" s="18" t="e">
        <f>((450/H16)*H15^0.5)/3.3</f>
        <v>#REF!</v>
      </c>
      <c r="I14" t="s">
        <v>95</v>
      </c>
    </row>
    <row r="15" spans="1:9" ht="14.45" x14ac:dyDescent="0.3">
      <c r="B15" t="s">
        <v>81</v>
      </c>
      <c r="C15" s="19" t="e">
        <f>'Transmitter Data'!#REF!</f>
        <v>#REF!</v>
      </c>
      <c r="D15" t="s">
        <v>83</v>
      </c>
      <c r="G15" t="s">
        <v>81</v>
      </c>
      <c r="H15" s="19" t="e">
        <f>'Transmitter Data'!#REF!</f>
        <v>#REF!</v>
      </c>
      <c r="I15" t="s">
        <v>83</v>
      </c>
    </row>
    <row r="16" spans="1:9" ht="14.45" x14ac:dyDescent="0.3">
      <c r="B16" t="s">
        <v>72</v>
      </c>
      <c r="C16" s="19" t="e">
        <f>'Transmitter Data'!#REF!</f>
        <v>#REF!</v>
      </c>
      <c r="D16" t="s">
        <v>73</v>
      </c>
      <c r="G16" t="s">
        <v>72</v>
      </c>
      <c r="H16" s="19" t="e">
        <f>'Transmitter Data'!#REF!</f>
        <v>#REF!</v>
      </c>
      <c r="I16" t="s">
        <v>73</v>
      </c>
    </row>
    <row r="17" spans="1:9" ht="14.45" x14ac:dyDescent="0.3">
      <c r="H17" s="19"/>
    </row>
    <row r="18" spans="1:9" ht="14.45" x14ac:dyDescent="0.3">
      <c r="A18">
        <f>'Transmitter Data'!A74</f>
        <v>6</v>
      </c>
      <c r="B18" t="s">
        <v>82</v>
      </c>
      <c r="C18" s="18">
        <f>((450/C20)*C19^0.5)/3.3</f>
        <v>1.7967486705502154E-2</v>
      </c>
      <c r="D18" t="s">
        <v>95</v>
      </c>
      <c r="F18" t="e">
        <f>'Transmitter Data'!#REF!</f>
        <v>#REF!</v>
      </c>
      <c r="G18" t="s">
        <v>82</v>
      </c>
      <c r="H18" s="18" t="e">
        <f>((450/H20)*H19^0.5)/3.3</f>
        <v>#REF!</v>
      </c>
      <c r="I18" t="s">
        <v>95</v>
      </c>
    </row>
    <row r="19" spans="1:9" ht="14.45" x14ac:dyDescent="0.3">
      <c r="B19" t="s">
        <v>81</v>
      </c>
      <c r="C19" s="19">
        <f>'Transmitter Data'!H74</f>
        <v>0.1</v>
      </c>
      <c r="D19" t="s">
        <v>83</v>
      </c>
      <c r="G19" t="s">
        <v>81</v>
      </c>
      <c r="H19" s="19" t="e">
        <f>'Transmitter Data'!#REF!</f>
        <v>#REF!</v>
      </c>
      <c r="I19" t="s">
        <v>83</v>
      </c>
    </row>
    <row r="20" spans="1:9" ht="14.45" x14ac:dyDescent="0.3">
      <c r="B20" t="s">
        <v>72</v>
      </c>
      <c r="C20" s="19">
        <f>'Transmitter Data'!C74</f>
        <v>2400</v>
      </c>
      <c r="D20" t="s">
        <v>73</v>
      </c>
      <c r="G20" t="s">
        <v>72</v>
      </c>
      <c r="H20" s="19" t="e">
        <f>'Transmitter Data'!#REF!</f>
        <v>#REF!</v>
      </c>
      <c r="I20" t="s">
        <v>73</v>
      </c>
    </row>
    <row r="21" spans="1:9" ht="14.45" x14ac:dyDescent="0.3">
      <c r="H21" s="19"/>
    </row>
    <row r="22" spans="1:9" ht="14.45" x14ac:dyDescent="0.3">
      <c r="A22">
        <f>'Transmitter Data'!A75</f>
        <v>7</v>
      </c>
      <c r="B22" t="s">
        <v>82</v>
      </c>
      <c r="C22" s="18">
        <f>((450/C24)*C23^0.5)/3.3</f>
        <v>7.5757575757575774E-2</v>
      </c>
      <c r="D22" t="s">
        <v>95</v>
      </c>
      <c r="F22">
        <f>'Transmitter Data'!A88</f>
        <v>20</v>
      </c>
      <c r="G22" t="s">
        <v>82</v>
      </c>
      <c r="H22" s="18">
        <f>((450/H24)*H23^0.5)/3.3</f>
        <v>5.9016456884158721</v>
      </c>
      <c r="I22" t="s">
        <v>95</v>
      </c>
    </row>
    <row r="23" spans="1:9" ht="14.45" x14ac:dyDescent="0.3">
      <c r="B23" t="s">
        <v>81</v>
      </c>
      <c r="C23" s="19">
        <f>'Transmitter Data'!H75</f>
        <v>0.25000000000000011</v>
      </c>
      <c r="D23" t="s">
        <v>83</v>
      </c>
      <c r="G23" t="s">
        <v>81</v>
      </c>
      <c r="H23" s="19">
        <f>'Transmitter Data'!H88</f>
        <v>45.000000000000064</v>
      </c>
      <c r="I23" t="s">
        <v>83</v>
      </c>
    </row>
    <row r="24" spans="1:9" ht="14.45" x14ac:dyDescent="0.3">
      <c r="B24" t="s">
        <v>72</v>
      </c>
      <c r="C24" s="19">
        <f>'Transmitter Data'!C75</f>
        <v>900</v>
      </c>
      <c r="D24" t="s">
        <v>73</v>
      </c>
      <c r="G24" t="s">
        <v>72</v>
      </c>
      <c r="H24" s="19">
        <f>'Transmitter Data'!C88</f>
        <v>155</v>
      </c>
      <c r="I24" t="s">
        <v>73</v>
      </c>
    </row>
    <row r="25" spans="1:9" ht="14.45" x14ac:dyDescent="0.3">
      <c r="H25" s="19"/>
    </row>
    <row r="26" spans="1:9" ht="14.45" x14ac:dyDescent="0.3">
      <c r="A26">
        <f>'Transmitter Data'!A76</f>
        <v>8</v>
      </c>
      <c r="B26" t="s">
        <v>82</v>
      </c>
      <c r="C26" s="18">
        <f>((450/C28)*C27^0.5)/3.3</f>
        <v>0.21427478217774176</v>
      </c>
      <c r="D26" t="s">
        <v>95</v>
      </c>
      <c r="F26">
        <f>'Transmitter Data'!A89</f>
        <v>21</v>
      </c>
      <c r="G26" t="s">
        <v>82</v>
      </c>
      <c r="H26" s="18">
        <f>((450/H28)*H27^0.5)/3.3</f>
        <v>1.9780719308809722</v>
      </c>
      <c r="I26" t="s">
        <v>95</v>
      </c>
    </row>
    <row r="27" spans="1:9" ht="14.45" x14ac:dyDescent="0.3">
      <c r="B27" t="s">
        <v>81</v>
      </c>
      <c r="C27" s="19">
        <f>'Transmitter Data'!H76</f>
        <v>2.0000000000000018</v>
      </c>
      <c r="D27" t="s">
        <v>83</v>
      </c>
      <c r="G27" t="s">
        <v>81</v>
      </c>
      <c r="H27" s="19">
        <f>'Transmitter Data'!H89</f>
        <v>40.000000000000043</v>
      </c>
      <c r="I27" t="s">
        <v>83</v>
      </c>
    </row>
    <row r="28" spans="1:9" ht="14.45" x14ac:dyDescent="0.3">
      <c r="B28" t="s">
        <v>72</v>
      </c>
      <c r="C28" s="19">
        <f>'Transmitter Data'!C76</f>
        <v>900</v>
      </c>
      <c r="D28" t="s">
        <v>73</v>
      </c>
      <c r="G28" t="s">
        <v>72</v>
      </c>
      <c r="H28" s="19">
        <f>'Transmitter Data'!C89</f>
        <v>436</v>
      </c>
      <c r="I28" t="s">
        <v>73</v>
      </c>
    </row>
    <row r="29" spans="1:9" ht="14.45" x14ac:dyDescent="0.3">
      <c r="H29" s="19"/>
    </row>
    <row r="30" spans="1:9" ht="14.45" x14ac:dyDescent="0.3">
      <c r="A30">
        <f>'Transmitter Data'!A77</f>
        <v>9</v>
      </c>
      <c r="B30" t="s">
        <v>82</v>
      </c>
      <c r="C30" s="18">
        <f>((450/C32)*C31^0.5)/3.3</f>
        <v>7.575757575757576E-2</v>
      </c>
      <c r="D30" t="s">
        <v>95</v>
      </c>
      <c r="F30">
        <f>'Transmitter Data'!A90</f>
        <v>22</v>
      </c>
      <c r="G30" t="s">
        <v>82</v>
      </c>
      <c r="H30" s="18">
        <f>((450/H32)*H31^0.5)/3.3</f>
        <v>1.7930132263286984</v>
      </c>
      <c r="I30" t="s">
        <v>95</v>
      </c>
    </row>
    <row r="31" spans="1:9" ht="14.45" x14ac:dyDescent="0.3">
      <c r="B31" t="s">
        <v>81</v>
      </c>
      <c r="C31" s="19">
        <f>'Transmitter Data'!H77</f>
        <v>1</v>
      </c>
      <c r="D31" t="s">
        <v>83</v>
      </c>
      <c r="G31" t="s">
        <v>81</v>
      </c>
      <c r="H31" s="19">
        <f>'Transmitter Data'!H90</f>
        <v>40.000000000000043</v>
      </c>
      <c r="I31" t="s">
        <v>83</v>
      </c>
    </row>
    <row r="32" spans="1:9" ht="14.45" x14ac:dyDescent="0.3">
      <c r="B32" t="s">
        <v>72</v>
      </c>
      <c r="C32" s="19">
        <f>'Transmitter Data'!C77</f>
        <v>1800</v>
      </c>
      <c r="D32" t="s">
        <v>73</v>
      </c>
      <c r="G32" t="s">
        <v>72</v>
      </c>
      <c r="H32" s="19">
        <f>'Transmitter Data'!C90</f>
        <v>481</v>
      </c>
      <c r="I32" t="s">
        <v>73</v>
      </c>
    </row>
    <row r="33" spans="1:9" ht="14.45" x14ac:dyDescent="0.3">
      <c r="H33" s="19"/>
    </row>
    <row r="34" spans="1:9" ht="14.45" x14ac:dyDescent="0.3">
      <c r="A34">
        <f>'Transmitter Data'!A78</f>
        <v>10</v>
      </c>
      <c r="B34" t="s">
        <v>82</v>
      </c>
      <c r="C34" s="18">
        <f>((450/C36)*C35^0.5)/3.3</f>
        <v>3.2467532467532478E-2</v>
      </c>
      <c r="D34" t="s">
        <v>95</v>
      </c>
      <c r="F34" t="e">
        <f>'Transmitter Data'!#REF!</f>
        <v>#REF!</v>
      </c>
      <c r="G34" t="s">
        <v>82</v>
      </c>
      <c r="H34" s="18" t="e">
        <f>((450/H36)*H35^0.5)/3.3</f>
        <v>#REF!</v>
      </c>
      <c r="I34" t="s">
        <v>95</v>
      </c>
    </row>
    <row r="35" spans="1:9" x14ac:dyDescent="0.25">
      <c r="B35" t="s">
        <v>81</v>
      </c>
      <c r="C35" s="19">
        <f>'Transmitter Data'!H78</f>
        <v>0.25000000000000011</v>
      </c>
      <c r="D35" t="s">
        <v>83</v>
      </c>
      <c r="G35" t="s">
        <v>81</v>
      </c>
      <c r="H35" s="19" t="e">
        <f>'Transmitter Data'!#REF!</f>
        <v>#REF!</v>
      </c>
      <c r="I35" t="s">
        <v>83</v>
      </c>
    </row>
    <row r="36" spans="1:9" x14ac:dyDescent="0.25">
      <c r="B36" t="s">
        <v>72</v>
      </c>
      <c r="C36" s="19">
        <f>'Transmitter Data'!C78</f>
        <v>2100</v>
      </c>
      <c r="D36" t="s">
        <v>73</v>
      </c>
      <c r="G36" t="s">
        <v>72</v>
      </c>
      <c r="H36" s="19" t="e">
        <f>'Transmitter Data'!#REF!</f>
        <v>#REF!</v>
      </c>
      <c r="I36" t="s">
        <v>73</v>
      </c>
    </row>
    <row r="37" spans="1:9" x14ac:dyDescent="0.25">
      <c r="H37" s="19"/>
    </row>
    <row r="38" spans="1:9" x14ac:dyDescent="0.25">
      <c r="A38">
        <f>'Transmitter Data'!A79</f>
        <v>11</v>
      </c>
      <c r="B38" t="s">
        <v>82</v>
      </c>
      <c r="C38" s="18">
        <f>((450/C40)*C39^0.5)/3.3</f>
        <v>2.964426877470357E-2</v>
      </c>
      <c r="D38" t="s">
        <v>95</v>
      </c>
      <c r="F38" t="e">
        <f>'Transmitter Data'!#REF!</f>
        <v>#REF!</v>
      </c>
      <c r="G38" t="s">
        <v>82</v>
      </c>
      <c r="H38" s="18" t="e">
        <f>((450/H40)*H39^0.5)/3.3</f>
        <v>#REF!</v>
      </c>
      <c r="I38" t="s">
        <v>95</v>
      </c>
    </row>
    <row r="39" spans="1:9" x14ac:dyDescent="0.25">
      <c r="B39" t="s">
        <v>81</v>
      </c>
      <c r="C39" s="19">
        <f>'Transmitter Data'!H79</f>
        <v>0.25000000000000011</v>
      </c>
      <c r="D39" t="s">
        <v>83</v>
      </c>
      <c r="G39" t="s">
        <v>81</v>
      </c>
      <c r="H39" s="19" t="e">
        <f>'Transmitter Data'!#REF!</f>
        <v>#REF!</v>
      </c>
      <c r="I39" t="s">
        <v>83</v>
      </c>
    </row>
    <row r="40" spans="1:9" x14ac:dyDescent="0.25">
      <c r="B40" t="s">
        <v>72</v>
      </c>
      <c r="C40" s="19">
        <f>'Transmitter Data'!C79</f>
        <v>2300</v>
      </c>
      <c r="D40" t="s">
        <v>73</v>
      </c>
      <c r="G40" t="s">
        <v>72</v>
      </c>
      <c r="H40" s="19" t="e">
        <f>'Transmitter Data'!#REF!</f>
        <v>#REF!</v>
      </c>
      <c r="I40" t="s">
        <v>73</v>
      </c>
    </row>
    <row r="41" spans="1:9" x14ac:dyDescent="0.25">
      <c r="H41" s="19"/>
    </row>
    <row r="42" spans="1:9" x14ac:dyDescent="0.25">
      <c r="A42">
        <f>'Transmitter Data'!A80</f>
        <v>12</v>
      </c>
      <c r="B42" t="s">
        <v>82</v>
      </c>
      <c r="C42" s="18">
        <f>((450/C44)*C43^0.5)/3.3</f>
        <v>1.7967486705502154E-2</v>
      </c>
      <c r="D42" t="s">
        <v>95</v>
      </c>
      <c r="F42" t="e">
        <f>'Transmitter Data'!#REF!</f>
        <v>#REF!</v>
      </c>
      <c r="G42" t="s">
        <v>82</v>
      </c>
      <c r="H42" s="18" t="e">
        <f>((450/H44)*H43^0.5)/3.3</f>
        <v>#REF!</v>
      </c>
      <c r="I42" t="s">
        <v>95</v>
      </c>
    </row>
    <row r="43" spans="1:9" x14ac:dyDescent="0.25">
      <c r="B43" t="s">
        <v>81</v>
      </c>
      <c r="C43" s="19">
        <f>'Transmitter Data'!H80</f>
        <v>0.1</v>
      </c>
      <c r="D43" t="s">
        <v>83</v>
      </c>
      <c r="G43" t="s">
        <v>81</v>
      </c>
      <c r="H43" s="19" t="e">
        <f>'Transmitter Data'!#REF!</f>
        <v>#REF!</v>
      </c>
      <c r="I43" t="s">
        <v>83</v>
      </c>
    </row>
    <row r="44" spans="1:9" x14ac:dyDescent="0.25">
      <c r="B44" t="s">
        <v>72</v>
      </c>
      <c r="C44" s="19">
        <f>'Transmitter Data'!C80</f>
        <v>2400</v>
      </c>
      <c r="D44" t="s">
        <v>73</v>
      </c>
      <c r="G44" t="s">
        <v>72</v>
      </c>
      <c r="H44" s="19" t="e">
        <f>'Transmitter Data'!#REF!</f>
        <v>#REF!</v>
      </c>
      <c r="I44" t="s">
        <v>73</v>
      </c>
    </row>
    <row r="45" spans="1:9" x14ac:dyDescent="0.25">
      <c r="H45" s="19"/>
    </row>
    <row r="46" spans="1:9" x14ac:dyDescent="0.25">
      <c r="A46">
        <f>'Transmitter Data'!A81</f>
        <v>13</v>
      </c>
      <c r="B46" t="s">
        <v>82</v>
      </c>
      <c r="C46" s="18">
        <f>((450/C48)*C47^0.5)/3.3</f>
        <v>2.3510971786833857E-2</v>
      </c>
      <c r="D46" t="s">
        <v>95</v>
      </c>
      <c r="F46" t="e">
        <f>'Transmitter Data'!#REF!</f>
        <v>#REF!</v>
      </c>
      <c r="G46" t="s">
        <v>82</v>
      </c>
      <c r="H46" s="18" t="e">
        <f>((450/H48)*H47^0.5)/3.3</f>
        <v>#REF!</v>
      </c>
      <c r="I46" t="s">
        <v>95</v>
      </c>
    </row>
    <row r="47" spans="1:9" x14ac:dyDescent="0.25">
      <c r="B47" t="s">
        <v>81</v>
      </c>
      <c r="C47" s="19">
        <f>'Transmitter Data'!H81</f>
        <v>1</v>
      </c>
      <c r="D47" t="s">
        <v>83</v>
      </c>
      <c r="G47" t="s">
        <v>81</v>
      </c>
      <c r="H47" s="19" t="e">
        <f>'Transmitter Data'!#REF!</f>
        <v>#REF!</v>
      </c>
      <c r="I47" t="s">
        <v>83</v>
      </c>
    </row>
    <row r="48" spans="1:9" x14ac:dyDescent="0.25">
      <c r="B48" t="s">
        <v>72</v>
      </c>
      <c r="C48" s="19">
        <f>'Transmitter Data'!C81</f>
        <v>5800</v>
      </c>
      <c r="D48" t="s">
        <v>73</v>
      </c>
      <c r="G48" t="s">
        <v>72</v>
      </c>
      <c r="H48" s="19" t="e">
        <f>'Transmitter Data'!#REF!</f>
        <v>#REF!</v>
      </c>
      <c r="I48" t="s">
        <v>73</v>
      </c>
    </row>
    <row r="49" spans="1:9" x14ac:dyDescent="0.25">
      <c r="H49" s="19"/>
    </row>
    <row r="50" spans="1:9" x14ac:dyDescent="0.25">
      <c r="A50">
        <f>'Transmitter Data'!A82</f>
        <v>14</v>
      </c>
      <c r="B50" t="s">
        <v>82</v>
      </c>
      <c r="C50" s="18">
        <f>((450/C52)*C51^0.5)/3.3</f>
        <v>3.9763749772856453E-2</v>
      </c>
      <c r="D50" t="s">
        <v>95</v>
      </c>
      <c r="F50" t="e">
        <f>'Transmitter Data'!#REF!</f>
        <v>#REF!</v>
      </c>
      <c r="G50" t="s">
        <v>82</v>
      </c>
      <c r="H50" s="18" t="e">
        <f>((450/H52)*H51^0.5)/3.3</f>
        <v>#REF!</v>
      </c>
      <c r="I50" t="s">
        <v>95</v>
      </c>
    </row>
    <row r="51" spans="1:9" x14ac:dyDescent="0.25">
      <c r="B51" t="s">
        <v>81</v>
      </c>
      <c r="C51" s="19">
        <f>'Transmitter Data'!H82</f>
        <v>0.48977881936844625</v>
      </c>
      <c r="D51" t="s">
        <v>83</v>
      </c>
      <c r="G51" t="s">
        <v>81</v>
      </c>
      <c r="H51" s="19" t="e">
        <f>'Transmitter Data'!#REF!</f>
        <v>#REF!</v>
      </c>
      <c r="I51" t="s">
        <v>83</v>
      </c>
    </row>
    <row r="52" spans="1:9" x14ac:dyDescent="0.25">
      <c r="B52" t="s">
        <v>72</v>
      </c>
      <c r="C52" s="19">
        <f>'Transmitter Data'!C82</f>
        <v>2400</v>
      </c>
      <c r="D52" t="s">
        <v>73</v>
      </c>
      <c r="G52" t="s">
        <v>72</v>
      </c>
      <c r="H52" s="19" t="e">
        <f>'Transmitter Data'!#REF!</f>
        <v>#REF!</v>
      </c>
      <c r="I52" t="s">
        <v>73</v>
      </c>
    </row>
    <row r="53" spans="1:9" x14ac:dyDescent="0.25">
      <c r="H53" s="19"/>
    </row>
    <row r="54" spans="1:9" x14ac:dyDescent="0.25">
      <c r="A54">
        <f>'Transmitter Data'!A83</f>
        <v>15</v>
      </c>
      <c r="B54" t="s">
        <v>82</v>
      </c>
      <c r="C54" s="18">
        <f>((450/C56)*C55^0.5)/3.3</f>
        <v>6.4754593338671645E-2</v>
      </c>
      <c r="D54" t="s">
        <v>95</v>
      </c>
      <c r="F54" t="e">
        <f>'Transmitter Data'!#REF!</f>
        <v>#REF!</v>
      </c>
      <c r="G54" t="s">
        <v>82</v>
      </c>
      <c r="H54" s="18" t="e">
        <f>((450/H56)*H55^0.5)/3.3</f>
        <v>#REF!</v>
      </c>
      <c r="I54" t="s">
        <v>95</v>
      </c>
    </row>
    <row r="55" spans="1:9" x14ac:dyDescent="0.25">
      <c r="B55" t="s">
        <v>81</v>
      </c>
      <c r="C55" s="19">
        <f>'Transmitter Data'!H83</f>
        <v>7.5857757502918393</v>
      </c>
      <c r="D55" t="s">
        <v>83</v>
      </c>
      <c r="G55" t="s">
        <v>81</v>
      </c>
      <c r="H55" s="19" t="e">
        <f>'Transmitter Data'!#REF!</f>
        <v>#REF!</v>
      </c>
      <c r="I55" t="s">
        <v>83</v>
      </c>
    </row>
    <row r="56" spans="1:9" x14ac:dyDescent="0.25">
      <c r="B56" t="s">
        <v>72</v>
      </c>
      <c r="C56" s="19">
        <f>'Transmitter Data'!C83</f>
        <v>5800</v>
      </c>
      <c r="D56" t="s">
        <v>73</v>
      </c>
      <c r="G56" t="s">
        <v>72</v>
      </c>
      <c r="H56" s="19" t="e">
        <f>'Transmitter Data'!#REF!</f>
        <v>#REF!</v>
      </c>
      <c r="I56" t="s">
        <v>73</v>
      </c>
    </row>
    <row r="57" spans="1:9" x14ac:dyDescent="0.25">
      <c r="H57" s="19"/>
    </row>
    <row r="58" spans="1:9" x14ac:dyDescent="0.25">
      <c r="A58" t="e">
        <f>'Transmitter Data'!#REF!</f>
        <v>#REF!</v>
      </c>
      <c r="B58" t="s">
        <v>82</v>
      </c>
      <c r="C58" s="18" t="e">
        <f>((450/C60)*C59^0.5)/3.3</f>
        <v>#REF!</v>
      </c>
      <c r="D58" t="s">
        <v>95</v>
      </c>
      <c r="F58" t="e">
        <f>'Transmitter Data'!#REF!</f>
        <v>#REF!</v>
      </c>
      <c r="G58" t="s">
        <v>82</v>
      </c>
      <c r="H58" s="18" t="e">
        <f>((450/H60)*H59^0.5)/3.3</f>
        <v>#REF!</v>
      </c>
      <c r="I58" t="s">
        <v>95</v>
      </c>
    </row>
    <row r="59" spans="1:9" x14ac:dyDescent="0.25">
      <c r="B59" t="s">
        <v>81</v>
      </c>
      <c r="C59" s="19" t="e">
        <f>'Transmitter Data'!#REF!</f>
        <v>#REF!</v>
      </c>
      <c r="D59" t="s">
        <v>83</v>
      </c>
      <c r="G59" t="s">
        <v>81</v>
      </c>
      <c r="H59" s="19" t="e">
        <f>'Transmitter Data'!#REF!</f>
        <v>#REF!</v>
      </c>
      <c r="I59" t="s">
        <v>83</v>
      </c>
    </row>
    <row r="60" spans="1:9" x14ac:dyDescent="0.25">
      <c r="B60" t="s">
        <v>72</v>
      </c>
      <c r="C60" s="19" t="e">
        <f>'Transmitter Data'!#REF!</f>
        <v>#REF!</v>
      </c>
      <c r="D60" t="s">
        <v>73</v>
      </c>
      <c r="G60" t="s">
        <v>72</v>
      </c>
      <c r="H60" s="19" t="e">
        <f>'Transmitter Data'!#REF!</f>
        <v>#REF!</v>
      </c>
      <c r="I60" t="s">
        <v>73</v>
      </c>
    </row>
    <row r="61" spans="1:9" x14ac:dyDescent="0.25">
      <c r="H61" s="19"/>
    </row>
    <row r="62" spans="1:9" x14ac:dyDescent="0.25">
      <c r="A62" t="e">
        <f>'Transmitter Data'!#REF!</f>
        <v>#REF!</v>
      </c>
      <c r="B62" t="s">
        <v>82</v>
      </c>
      <c r="C62" s="18" t="e">
        <f>((450/C64)*C63^0.5)/3.3</f>
        <v>#REF!</v>
      </c>
      <c r="D62" t="s">
        <v>95</v>
      </c>
      <c r="F62" t="e">
        <f>'Transmitter Data'!#REF!</f>
        <v>#REF!</v>
      </c>
      <c r="G62" t="s">
        <v>82</v>
      </c>
      <c r="H62" s="18" t="e">
        <f>((450/H64)*H63^0.5)/3.3</f>
        <v>#REF!</v>
      </c>
      <c r="I62" t="s">
        <v>95</v>
      </c>
    </row>
    <row r="63" spans="1:9" x14ac:dyDescent="0.25">
      <c r="B63" t="s">
        <v>81</v>
      </c>
      <c r="C63" s="19" t="e">
        <f>'Transmitter Data'!#REF!</f>
        <v>#REF!</v>
      </c>
      <c r="D63" t="s">
        <v>83</v>
      </c>
      <c r="G63" t="s">
        <v>81</v>
      </c>
      <c r="H63" s="19" t="e">
        <f>'Transmitter Data'!#REF!</f>
        <v>#REF!</v>
      </c>
      <c r="I63" t="s">
        <v>83</v>
      </c>
    </row>
    <row r="64" spans="1:9" x14ac:dyDescent="0.25">
      <c r="B64" t="s">
        <v>72</v>
      </c>
      <c r="C64" s="19" t="e">
        <f>'Transmitter Data'!#REF!</f>
        <v>#REF!</v>
      </c>
      <c r="D64" t="s">
        <v>73</v>
      </c>
      <c r="G64" t="s">
        <v>72</v>
      </c>
      <c r="H64" s="19" t="e">
        <f>'Transmitter Data'!#REF!</f>
        <v>#REF!</v>
      </c>
      <c r="I64" t="s">
        <v>73</v>
      </c>
    </row>
    <row r="65" spans="1:9" x14ac:dyDescent="0.25">
      <c r="H65" s="19"/>
    </row>
    <row r="66" spans="1:9" x14ac:dyDescent="0.25">
      <c r="A66">
        <f>'Transmitter Data'!A84</f>
        <v>16</v>
      </c>
      <c r="B66" t="s">
        <v>82</v>
      </c>
      <c r="C66" s="18">
        <f>((450/C68)*C67^0.5)/3.3</f>
        <v>0.87976539589442826</v>
      </c>
      <c r="D66" t="s">
        <v>95</v>
      </c>
      <c r="F66" t="e">
        <f>'Transmitter Data'!#REF!</f>
        <v>#REF!</v>
      </c>
      <c r="G66" t="s">
        <v>82</v>
      </c>
      <c r="H66" s="18" t="e">
        <f>((450/H68)*H67^0.5)/3.3</f>
        <v>#REF!</v>
      </c>
      <c r="I66" t="s">
        <v>95</v>
      </c>
    </row>
    <row r="67" spans="1:9" x14ac:dyDescent="0.25">
      <c r="B67" t="s">
        <v>81</v>
      </c>
      <c r="C67" s="19">
        <f>'Transmitter Data'!H84</f>
        <v>1</v>
      </c>
      <c r="D67" t="s">
        <v>83</v>
      </c>
      <c r="G67" t="s">
        <v>81</v>
      </c>
      <c r="H67" s="19" t="e">
        <f>'Transmitter Data'!#REF!</f>
        <v>#REF!</v>
      </c>
      <c r="I67" t="s">
        <v>83</v>
      </c>
    </row>
    <row r="68" spans="1:9" x14ac:dyDescent="0.25">
      <c r="B68" t="s">
        <v>72</v>
      </c>
      <c r="C68" s="19">
        <f>'Transmitter Data'!C84</f>
        <v>155</v>
      </c>
      <c r="D68" t="s">
        <v>73</v>
      </c>
      <c r="G68" t="s">
        <v>72</v>
      </c>
      <c r="H68" s="19" t="e">
        <f>'Transmitter Data'!#REF!</f>
        <v>#REF!</v>
      </c>
      <c r="I68" t="s">
        <v>73</v>
      </c>
    </row>
    <row r="69" spans="1:9" x14ac:dyDescent="0.25">
      <c r="H69" s="19"/>
    </row>
    <row r="70" spans="1:9" x14ac:dyDescent="0.25">
      <c r="A70">
        <f>'Transmitter Data'!A85</f>
        <v>17</v>
      </c>
      <c r="B70" t="s">
        <v>82</v>
      </c>
      <c r="C70" s="18">
        <f>((450/C72)*C71^0.5)/3.3</f>
        <v>0.62552126772310312</v>
      </c>
      <c r="D70" t="s">
        <v>95</v>
      </c>
      <c r="F70">
        <f>'Transmitter Data'!A100</f>
        <v>0</v>
      </c>
      <c r="G70" t="s">
        <v>82</v>
      </c>
      <c r="H70" s="18" t="e">
        <f>((450/H72)*H71^0.5)/3.3</f>
        <v>#DIV/0!</v>
      </c>
      <c r="I70" t="s">
        <v>95</v>
      </c>
    </row>
    <row r="71" spans="1:9" x14ac:dyDescent="0.25">
      <c r="B71" t="s">
        <v>81</v>
      </c>
      <c r="C71" s="19">
        <f>'Transmitter Data'!H85</f>
        <v>4.0000000000000071</v>
      </c>
      <c r="D71" t="s">
        <v>83</v>
      </c>
      <c r="G71" t="s">
        <v>81</v>
      </c>
      <c r="H71" s="19">
        <f>'Transmitter Data'!H100</f>
        <v>0</v>
      </c>
      <c r="I71" t="s">
        <v>83</v>
      </c>
    </row>
    <row r="72" spans="1:9" x14ac:dyDescent="0.25">
      <c r="B72" t="s">
        <v>72</v>
      </c>
      <c r="C72" s="19">
        <f>'Transmitter Data'!C85</f>
        <v>436</v>
      </c>
      <c r="D72" t="s">
        <v>73</v>
      </c>
      <c r="G72" t="s">
        <v>72</v>
      </c>
      <c r="H72" s="19">
        <f>'Transmitter Data'!C100</f>
        <v>0</v>
      </c>
      <c r="I72" t="s">
        <v>73</v>
      </c>
    </row>
    <row r="73" spans="1:9" x14ac:dyDescent="0.25">
      <c r="H73" s="19"/>
    </row>
    <row r="74" spans="1:9" x14ac:dyDescent="0.25">
      <c r="A74">
        <f>'Transmitter Data'!A86</f>
        <v>18</v>
      </c>
      <c r="B74" t="s">
        <v>82</v>
      </c>
      <c r="C74" s="18">
        <f>((450/C76)*C75^0.5)/3.3</f>
        <v>0.56700056700056756</v>
      </c>
      <c r="D74" t="s">
        <v>95</v>
      </c>
      <c r="F74">
        <f>'Transmitter Data'!A101</f>
        <v>0</v>
      </c>
      <c r="G74" t="s">
        <v>82</v>
      </c>
      <c r="H74" s="18" t="e">
        <f>((450/H76)*H75^0.5)/3.3</f>
        <v>#DIV/0!</v>
      </c>
      <c r="I74" t="s">
        <v>95</v>
      </c>
    </row>
    <row r="75" spans="1:9" x14ac:dyDescent="0.25">
      <c r="B75" t="s">
        <v>81</v>
      </c>
      <c r="C75" s="19">
        <f>'Transmitter Data'!H86</f>
        <v>4.0000000000000071</v>
      </c>
      <c r="D75" t="s">
        <v>83</v>
      </c>
      <c r="G75" t="s">
        <v>81</v>
      </c>
      <c r="H75" s="19">
        <f>'Transmitter Data'!H101</f>
        <v>0</v>
      </c>
      <c r="I75" t="s">
        <v>83</v>
      </c>
    </row>
    <row r="76" spans="1:9" x14ac:dyDescent="0.25">
      <c r="B76" t="s">
        <v>72</v>
      </c>
      <c r="C76" s="19">
        <f>'Transmitter Data'!C86</f>
        <v>481</v>
      </c>
      <c r="D76" t="s">
        <v>73</v>
      </c>
      <c r="G76" t="s">
        <v>72</v>
      </c>
      <c r="H76" s="19">
        <f>'Transmitter Data'!C101</f>
        <v>0</v>
      </c>
      <c r="I76" t="s">
        <v>73</v>
      </c>
    </row>
    <row r="77" spans="1:9" x14ac:dyDescent="0.25">
      <c r="H77" s="19"/>
    </row>
    <row r="78" spans="1:9" x14ac:dyDescent="0.25">
      <c r="A78">
        <f>'Transmitter Data'!A87</f>
        <v>19</v>
      </c>
      <c r="B78" t="s">
        <v>82</v>
      </c>
      <c r="C78" s="18">
        <f>((450/C80)*C79^0.5)/3.3</f>
        <v>1.9672152294719569</v>
      </c>
      <c r="D78" t="s">
        <v>95</v>
      </c>
      <c r="F78">
        <f>'Transmitter Data'!A102</f>
        <v>0</v>
      </c>
      <c r="G78" t="s">
        <v>82</v>
      </c>
      <c r="H78" s="18" t="e">
        <f>((450/H80)*H79^0.5)/3.3</f>
        <v>#DIV/0!</v>
      </c>
      <c r="I78" t="s">
        <v>95</v>
      </c>
    </row>
    <row r="79" spans="1:9" x14ac:dyDescent="0.25">
      <c r="B79" t="s">
        <v>81</v>
      </c>
      <c r="C79" s="19">
        <f>'Transmitter Data'!H87</f>
        <v>5.0000000000000036</v>
      </c>
      <c r="D79" t="s">
        <v>83</v>
      </c>
      <c r="G79" t="s">
        <v>81</v>
      </c>
      <c r="H79" s="19">
        <f>'Transmitter Data'!H102</f>
        <v>0</v>
      </c>
      <c r="I79" t="s">
        <v>83</v>
      </c>
    </row>
    <row r="80" spans="1:9" x14ac:dyDescent="0.25">
      <c r="B80" t="s">
        <v>72</v>
      </c>
      <c r="C80" s="19">
        <f>'Transmitter Data'!C87</f>
        <v>155</v>
      </c>
      <c r="D80" t="s">
        <v>73</v>
      </c>
      <c r="G80" t="s">
        <v>72</v>
      </c>
      <c r="H80" s="19">
        <f>'Transmitter Data'!C102</f>
        <v>0</v>
      </c>
      <c r="I80" t="s">
        <v>73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A363"/>
  <sheetViews>
    <sheetView zoomScale="70" zoomScaleNormal="70" workbookViewId="0">
      <selection activeCell="C23" sqref="C23"/>
    </sheetView>
  </sheetViews>
  <sheetFormatPr defaultRowHeight="15" x14ac:dyDescent="0.25"/>
  <cols>
    <col min="2" max="2" width="11.140625" customWidth="1"/>
    <col min="3" max="3" width="17" customWidth="1"/>
    <col min="4" max="4" width="12" customWidth="1"/>
    <col min="5" max="5" width="12.85546875" customWidth="1"/>
    <col min="6" max="6" width="11.140625" customWidth="1"/>
    <col min="7" max="7" width="14.85546875" customWidth="1"/>
    <col min="9" max="9" width="11.5703125" customWidth="1"/>
  </cols>
  <sheetData>
    <row r="1" spans="2:17" ht="14.45" x14ac:dyDescent="0.3">
      <c r="C1" s="2"/>
    </row>
    <row r="2" spans="2:17" ht="14.45" x14ac:dyDescent="0.3">
      <c r="C2" s="2" t="s">
        <v>72</v>
      </c>
      <c r="D2">
        <v>146</v>
      </c>
      <c r="E2" t="s">
        <v>73</v>
      </c>
      <c r="G2" t="s">
        <v>72</v>
      </c>
      <c r="H2">
        <v>900</v>
      </c>
      <c r="J2" t="s">
        <v>72</v>
      </c>
      <c r="K2">
        <v>146</v>
      </c>
      <c r="M2" t="s">
        <v>72</v>
      </c>
      <c r="N2">
        <v>146</v>
      </c>
      <c r="P2" t="s">
        <v>72</v>
      </c>
      <c r="Q2">
        <v>146</v>
      </c>
    </row>
    <row r="3" spans="2:17" ht="14.45" x14ac:dyDescent="0.3">
      <c r="C3" s="2" t="s">
        <v>96</v>
      </c>
      <c r="D3">
        <f>300/D2</f>
        <v>2.0547945205479454</v>
      </c>
      <c r="E3" t="s">
        <v>95</v>
      </c>
      <c r="G3" t="s">
        <v>96</v>
      </c>
      <c r="H3">
        <f>300/H2</f>
        <v>0.33333333333333331</v>
      </c>
      <c r="J3" t="s">
        <v>96</v>
      </c>
      <c r="K3">
        <f>300/K2</f>
        <v>2.0547945205479454</v>
      </c>
      <c r="M3" t="s">
        <v>96</v>
      </c>
      <c r="N3">
        <f>300/N2</f>
        <v>2.0547945205479454</v>
      </c>
      <c r="P3" t="s">
        <v>96</v>
      </c>
      <c r="Q3">
        <f>300/Q2</f>
        <v>2.0547945205479454</v>
      </c>
    </row>
    <row r="4" spans="2:17" ht="14.45" x14ac:dyDescent="0.3">
      <c r="B4" t="s">
        <v>94</v>
      </c>
      <c r="C4" s="2" t="s">
        <v>97</v>
      </c>
      <c r="D4">
        <f>3*D3</f>
        <v>6.1643835616438363</v>
      </c>
      <c r="E4" t="s">
        <v>95</v>
      </c>
      <c r="G4" t="s">
        <v>97</v>
      </c>
      <c r="H4">
        <f>3*H3</f>
        <v>1</v>
      </c>
      <c r="J4" t="s">
        <v>97</v>
      </c>
      <c r="K4">
        <f>3*K3</f>
        <v>6.1643835616438363</v>
      </c>
      <c r="M4" t="s">
        <v>97</v>
      </c>
      <c r="N4">
        <f>3*N3</f>
        <v>6.1643835616438363</v>
      </c>
      <c r="P4" t="s">
        <v>97</v>
      </c>
      <c r="Q4">
        <f>3*Q3</f>
        <v>6.1643835616438363</v>
      </c>
    </row>
    <row r="5" spans="2:17" ht="14.45" x14ac:dyDescent="0.3">
      <c r="C5" s="2"/>
    </row>
    <row r="6" spans="2:17" ht="28.9" x14ac:dyDescent="0.3">
      <c r="C6" s="2" t="s">
        <v>99</v>
      </c>
      <c r="D6">
        <v>0.1</v>
      </c>
      <c r="E6" t="s">
        <v>95</v>
      </c>
      <c r="G6" s="2" t="s">
        <v>99</v>
      </c>
      <c r="H6">
        <v>5.8000000000000003E-2</v>
      </c>
    </row>
    <row r="7" spans="2:17" ht="14.45" x14ac:dyDescent="0.3">
      <c r="B7" t="s">
        <v>100</v>
      </c>
      <c r="C7" s="2"/>
      <c r="D7">
        <f>(D6^2)/D3</f>
        <v>4.8666666666666667E-3</v>
      </c>
      <c r="E7" t="s">
        <v>95</v>
      </c>
      <c r="G7" s="2"/>
      <c r="H7">
        <f>(H6^2)/H3</f>
        <v>1.0092000000000002E-2</v>
      </c>
    </row>
    <row r="8" spans="2:17" ht="14.45" x14ac:dyDescent="0.3">
      <c r="C8" s="2"/>
    </row>
    <row r="12" spans="2:17" ht="15" customHeight="1" x14ac:dyDescent="0.3"/>
    <row r="20" spans="1:27" ht="14.45" x14ac:dyDescent="0.3">
      <c r="C20" s="2"/>
    </row>
    <row r="21" spans="1:27" ht="14.45" x14ac:dyDescent="0.3">
      <c r="A21" t="e">
        <f>'Transmitter Data'!#REF!</f>
        <v>#REF!</v>
      </c>
      <c r="B21" s="149" t="s">
        <v>102</v>
      </c>
      <c r="C21" s="149"/>
      <c r="D21" s="149"/>
      <c r="E21" s="149"/>
      <c r="F21" s="149"/>
      <c r="G21" s="149"/>
      <c r="I21" s="150" t="s">
        <v>105</v>
      </c>
      <c r="J21" s="150"/>
      <c r="K21" s="150"/>
      <c r="L21" s="150"/>
      <c r="M21" s="150"/>
      <c r="N21" s="150"/>
    </row>
    <row r="22" spans="1:27" ht="43.9" x14ac:dyDescent="0.35">
      <c r="B22" s="20" t="s">
        <v>10</v>
      </c>
      <c r="C22" s="20" t="s">
        <v>103</v>
      </c>
      <c r="I22" s="20" t="s">
        <v>10</v>
      </c>
      <c r="J22" s="20" t="s">
        <v>106</v>
      </c>
      <c r="K22" s="20" t="s">
        <v>107</v>
      </c>
      <c r="L22" s="20"/>
      <c r="M22" s="20"/>
      <c r="N22" s="20" t="s">
        <v>108</v>
      </c>
      <c r="AA22" s="24" t="s">
        <v>110</v>
      </c>
    </row>
    <row r="23" spans="1:27" ht="14.45" x14ac:dyDescent="0.3">
      <c r="B23" s="5" t="e">
        <f>'Transmitter Data'!#REF!</f>
        <v>#REF!</v>
      </c>
      <c r="C23" s="21" t="e">
        <f>IF(B23&gt;80,0.00625*B23, IF(B23&lt;2, 1/B23,0.5))</f>
        <v>#REF!</v>
      </c>
      <c r="I23" s="5">
        <v>147</v>
      </c>
      <c r="J23" s="5">
        <v>10</v>
      </c>
      <c r="K23" s="5">
        <v>1</v>
      </c>
      <c r="L23" s="5"/>
      <c r="M23" s="5"/>
      <c r="N23" s="21">
        <f>IF(I23&gt;80,876*((J23*K23)^0.5)/I23,IF(I23&lt;2,5.5*I23*(J23*K23)^0.5,(10.95*(J23*K23)^0.5)))</f>
        <v>18.844593403452382</v>
      </c>
    </row>
    <row r="24" spans="1:27" ht="14.45" x14ac:dyDescent="0.3">
      <c r="C24" s="2"/>
    </row>
    <row r="25" spans="1:27" ht="14.45" x14ac:dyDescent="0.3">
      <c r="B25" s="149" t="s">
        <v>104</v>
      </c>
      <c r="C25" s="149"/>
      <c r="D25" s="149"/>
      <c r="E25" s="149"/>
      <c r="F25" s="149"/>
      <c r="G25" s="149"/>
      <c r="I25" s="146" t="s">
        <v>109</v>
      </c>
      <c r="J25" s="147"/>
      <c r="K25" s="147"/>
      <c r="L25" s="147"/>
      <c r="M25" s="147"/>
      <c r="N25" s="148"/>
    </row>
    <row r="26" spans="1:27" ht="43.9" x14ac:dyDescent="0.35">
      <c r="B26" s="20" t="s">
        <v>10</v>
      </c>
      <c r="C26" s="20" t="s">
        <v>103</v>
      </c>
      <c r="I26" s="20" t="s">
        <v>10</v>
      </c>
      <c r="J26" s="20" t="s">
        <v>106</v>
      </c>
      <c r="K26" s="20" t="s">
        <v>107</v>
      </c>
      <c r="L26" s="20"/>
      <c r="M26" s="20"/>
      <c r="N26" s="20" t="s">
        <v>108</v>
      </c>
    </row>
    <row r="27" spans="1:27" ht="14.45" x14ac:dyDescent="0.3">
      <c r="B27" s="5">
        <f>'Transmitter Data'!C74</f>
        <v>2400</v>
      </c>
      <c r="C27" s="21">
        <f>IF(B27&gt;80,0.025*B27, IF(B27&lt;2, 4/B27,2))</f>
        <v>60</v>
      </c>
      <c r="I27" s="5">
        <v>147</v>
      </c>
      <c r="J27" s="5">
        <v>2</v>
      </c>
      <c r="K27" s="5">
        <v>1</v>
      </c>
      <c r="L27" s="5"/>
      <c r="M27" s="5"/>
      <c r="N27" s="21">
        <f>IF(I27&gt;80,219*((J27*K27)^0.5)/I27,IF(I27&lt;2,1.37*I27*(J27*K27)^0.5,(2.74*(J27*K27)^0.5)))</f>
        <v>2.1068895929231823</v>
      </c>
    </row>
    <row r="28" spans="1:27" ht="14.45" x14ac:dyDescent="0.3">
      <c r="C28" s="2"/>
    </row>
    <row r="29" spans="1:27" ht="14.45" x14ac:dyDescent="0.3">
      <c r="A29">
        <f>'Transmitter Data'!A78</f>
        <v>10</v>
      </c>
      <c r="B29" s="149" t="s">
        <v>102</v>
      </c>
      <c r="C29" s="149"/>
      <c r="D29" s="149"/>
      <c r="E29" s="149"/>
      <c r="F29" s="149"/>
      <c r="G29" s="149"/>
      <c r="I29" s="150" t="s">
        <v>105</v>
      </c>
      <c r="J29" s="150"/>
      <c r="K29" s="150"/>
      <c r="L29" s="150"/>
      <c r="M29" s="150"/>
      <c r="N29" s="150"/>
    </row>
    <row r="30" spans="1:27" ht="43.9" x14ac:dyDescent="0.35">
      <c r="B30" s="20" t="s">
        <v>10</v>
      </c>
      <c r="C30" s="20" t="s">
        <v>103</v>
      </c>
      <c r="I30" s="20" t="s">
        <v>10</v>
      </c>
      <c r="J30" s="20" t="s">
        <v>106</v>
      </c>
      <c r="K30" s="20" t="s">
        <v>107</v>
      </c>
      <c r="L30" s="20"/>
      <c r="M30" s="20"/>
      <c r="N30" s="20" t="s">
        <v>108</v>
      </c>
    </row>
    <row r="31" spans="1:27" ht="14.45" x14ac:dyDescent="0.3">
      <c r="B31" s="5">
        <f>'Transmitter Data'!C78</f>
        <v>2100</v>
      </c>
      <c r="C31" s="21">
        <f>IF(B31&gt;80,0.00625*B31, IF(B31&lt;2, 1/B31,0.5))</f>
        <v>13.125</v>
      </c>
      <c r="I31" s="5">
        <v>147</v>
      </c>
      <c r="J31" s="5">
        <v>10</v>
      </c>
      <c r="K31" s="5">
        <v>1</v>
      </c>
      <c r="L31" s="5"/>
      <c r="M31" s="5"/>
      <c r="N31" s="21">
        <f>IF(I31&gt;80,876*((J31*K31)^0.5)/I31,IF(I31&lt;2,5.5*I31*(J31*K31)^0.5,(10.95*(J31*K31)^0.5)))</f>
        <v>18.844593403452382</v>
      </c>
    </row>
    <row r="32" spans="1:27" ht="14.45" x14ac:dyDescent="0.3">
      <c r="C32" s="2"/>
    </row>
    <row r="33" spans="1:14" ht="14.45" x14ac:dyDescent="0.3">
      <c r="B33" s="149" t="s">
        <v>104</v>
      </c>
      <c r="C33" s="149"/>
      <c r="D33" s="149"/>
      <c r="E33" s="149"/>
      <c r="F33" s="149"/>
      <c r="G33" s="149"/>
      <c r="I33" s="146" t="s">
        <v>109</v>
      </c>
      <c r="J33" s="147"/>
      <c r="K33" s="147"/>
      <c r="L33" s="147"/>
      <c r="M33" s="147"/>
      <c r="N33" s="148"/>
    </row>
    <row r="34" spans="1:14" ht="43.9" x14ac:dyDescent="0.35">
      <c r="B34" s="20" t="s">
        <v>10</v>
      </c>
      <c r="C34" s="20" t="s">
        <v>103</v>
      </c>
      <c r="I34" s="20" t="s">
        <v>10</v>
      </c>
      <c r="J34" s="20" t="s">
        <v>106</v>
      </c>
      <c r="K34" s="20" t="s">
        <v>107</v>
      </c>
      <c r="L34" s="20"/>
      <c r="M34" s="20"/>
      <c r="N34" s="20" t="s">
        <v>108</v>
      </c>
    </row>
    <row r="35" spans="1:14" ht="14.45" x14ac:dyDescent="0.3">
      <c r="B35" s="5">
        <f>'Transmitter Data'!C82</f>
        <v>2400</v>
      </c>
      <c r="C35" s="21">
        <f>IF(B35&gt;80,0.025*B35, IF(B35&lt;2, 4/B35,2))</f>
        <v>60</v>
      </c>
      <c r="I35" s="5">
        <v>147</v>
      </c>
      <c r="J35" s="5">
        <v>2</v>
      </c>
      <c r="K35" s="5">
        <v>1</v>
      </c>
      <c r="L35" s="5"/>
      <c r="M35" s="5"/>
      <c r="N35" s="21">
        <f>IF(I35&gt;80,219*((J35*K35)^0.5)/I35,IF(I35&lt;2,1.37*I35*(J35*K35)^0.5,(2.74*(J35*K35)^0.5)))</f>
        <v>2.1068895929231823</v>
      </c>
    </row>
    <row r="37" spans="1:14" ht="14.45" x14ac:dyDescent="0.3">
      <c r="A37">
        <f>'Transmitter Data'!A84</f>
        <v>16</v>
      </c>
      <c r="B37" s="149" t="s">
        <v>102</v>
      </c>
      <c r="C37" s="149"/>
      <c r="D37" s="149"/>
      <c r="E37" s="149"/>
      <c r="F37" s="149"/>
      <c r="G37" s="149"/>
      <c r="I37" s="150" t="s">
        <v>105</v>
      </c>
      <c r="J37" s="150"/>
      <c r="K37" s="150"/>
      <c r="L37" s="150"/>
      <c r="M37" s="150"/>
      <c r="N37" s="150"/>
    </row>
    <row r="38" spans="1:14" ht="43.9" x14ac:dyDescent="0.35">
      <c r="B38" s="20" t="s">
        <v>10</v>
      </c>
      <c r="C38" s="20" t="s">
        <v>103</v>
      </c>
      <c r="I38" s="20" t="s">
        <v>10</v>
      </c>
      <c r="J38" s="20" t="s">
        <v>106</v>
      </c>
      <c r="K38" s="20" t="s">
        <v>107</v>
      </c>
      <c r="L38" s="20"/>
      <c r="M38" s="20"/>
      <c r="N38" s="20" t="s">
        <v>108</v>
      </c>
    </row>
    <row r="39" spans="1:14" ht="14.45" x14ac:dyDescent="0.3">
      <c r="B39" s="5">
        <f>'Transmitter Data'!C84</f>
        <v>155</v>
      </c>
      <c r="C39" s="21">
        <f>IF(B39&gt;80,0.00625*B39, IF(B39&lt;2, 1/B39,0.5))</f>
        <v>0.96875</v>
      </c>
      <c r="I39" s="5">
        <v>147</v>
      </c>
      <c r="J39" s="5">
        <v>10</v>
      </c>
      <c r="K39" s="5">
        <v>1</v>
      </c>
      <c r="L39" s="5"/>
      <c r="M39" s="5"/>
      <c r="N39" s="21">
        <f>IF(I39&gt;80,876*((J39*K39)^0.5)/I39,IF(I39&lt;2,5.5*I39*(J39*K39)^0.5,(10.95*(J39*K39)^0.5)))</f>
        <v>18.844593403452382</v>
      </c>
    </row>
    <row r="40" spans="1:14" ht="14.45" x14ac:dyDescent="0.3">
      <c r="C40" s="2"/>
    </row>
    <row r="41" spans="1:14" x14ac:dyDescent="0.25">
      <c r="B41" s="149" t="s">
        <v>104</v>
      </c>
      <c r="C41" s="149"/>
      <c r="D41" s="149"/>
      <c r="E41" s="149"/>
      <c r="F41" s="149"/>
      <c r="G41" s="149"/>
      <c r="I41" s="146" t="s">
        <v>109</v>
      </c>
      <c r="J41" s="147"/>
      <c r="K41" s="147"/>
      <c r="L41" s="147"/>
      <c r="M41" s="147"/>
      <c r="N41" s="148"/>
    </row>
    <row r="42" spans="1:14" ht="46.5" x14ac:dyDescent="0.35">
      <c r="B42" s="20" t="s">
        <v>10</v>
      </c>
      <c r="C42" s="20" t="s">
        <v>103</v>
      </c>
      <c r="I42" s="20" t="s">
        <v>10</v>
      </c>
      <c r="J42" s="20" t="s">
        <v>106</v>
      </c>
      <c r="K42" s="20" t="s">
        <v>107</v>
      </c>
      <c r="L42" s="20"/>
      <c r="M42" s="20"/>
      <c r="N42" s="20" t="s">
        <v>108</v>
      </c>
    </row>
    <row r="43" spans="1:14" x14ac:dyDescent="0.25">
      <c r="B43" s="5" t="e">
        <f>'Transmitter Data'!#REF!</f>
        <v>#REF!</v>
      </c>
      <c r="C43" s="21" t="e">
        <f>IF(B43&gt;80,0.025*B43, IF(B43&lt;2, 4/B43,2))</f>
        <v>#REF!</v>
      </c>
      <c r="I43" s="5">
        <v>147</v>
      </c>
      <c r="J43" s="5">
        <v>2</v>
      </c>
      <c r="K43" s="5">
        <v>1</v>
      </c>
      <c r="L43" s="5"/>
      <c r="M43" s="5"/>
      <c r="N43" s="21">
        <f>IF(I43&gt;80,219*((J43*K43)^0.5)/I43,IF(I43&lt;2,1.37*I43*(J43*K43)^0.5,(2.74*(J43*K43)^0.5)))</f>
        <v>2.1068895929231823</v>
      </c>
    </row>
    <row r="45" spans="1:14" x14ac:dyDescent="0.25">
      <c r="A45" t="e">
        <f>'Transmitter Data'!#REF!</f>
        <v>#REF!</v>
      </c>
      <c r="B45" s="149" t="s">
        <v>102</v>
      </c>
      <c r="C45" s="149"/>
      <c r="D45" s="149"/>
      <c r="E45" s="149"/>
      <c r="F45" s="149"/>
      <c r="G45" s="149"/>
      <c r="I45" s="150" t="s">
        <v>105</v>
      </c>
      <c r="J45" s="150"/>
      <c r="K45" s="150"/>
      <c r="L45" s="150"/>
      <c r="M45" s="150"/>
      <c r="N45" s="150"/>
    </row>
    <row r="46" spans="1:14" ht="46.5" x14ac:dyDescent="0.35">
      <c r="B46" s="20" t="s">
        <v>10</v>
      </c>
      <c r="C46" s="20" t="s">
        <v>103</v>
      </c>
      <c r="I46" s="20" t="s">
        <v>10</v>
      </c>
      <c r="J46" s="20" t="s">
        <v>106</v>
      </c>
      <c r="K46" s="20" t="s">
        <v>107</v>
      </c>
      <c r="L46" s="20"/>
      <c r="M46" s="20"/>
      <c r="N46" s="20" t="s">
        <v>108</v>
      </c>
    </row>
    <row r="47" spans="1:14" x14ac:dyDescent="0.25">
      <c r="B47" s="5" t="e">
        <f>'Transmitter Data'!#REF!</f>
        <v>#REF!</v>
      </c>
      <c r="C47" s="21" t="e">
        <f>IF(B47&gt;80,0.00625*B47, IF(B47&lt;2, 1/B47,0.5))</f>
        <v>#REF!</v>
      </c>
      <c r="I47" s="5">
        <v>147</v>
      </c>
      <c r="J47" s="5">
        <v>10</v>
      </c>
      <c r="K47" s="5">
        <v>1</v>
      </c>
      <c r="L47" s="5"/>
      <c r="M47" s="5"/>
      <c r="N47" s="21">
        <f>IF(I47&gt;80,876*((J47*K47)^0.5)/I47,IF(I47&lt;2,5.5*I47*(J47*K47)^0.5,(10.95*(J47*K47)^0.5)))</f>
        <v>18.844593403452382</v>
      </c>
    </row>
    <row r="48" spans="1:14" x14ac:dyDescent="0.25">
      <c r="C48" s="2"/>
    </row>
    <row r="49" spans="1:14" x14ac:dyDescent="0.25">
      <c r="B49" s="149" t="s">
        <v>104</v>
      </c>
      <c r="C49" s="149"/>
      <c r="D49" s="149"/>
      <c r="E49" s="149"/>
      <c r="F49" s="149"/>
      <c r="G49" s="149"/>
      <c r="I49" s="146" t="s">
        <v>109</v>
      </c>
      <c r="J49" s="147"/>
      <c r="K49" s="147"/>
      <c r="L49" s="147"/>
      <c r="M49" s="147"/>
      <c r="N49" s="148"/>
    </row>
    <row r="50" spans="1:14" ht="46.5" x14ac:dyDescent="0.35">
      <c r="B50" s="20" t="s">
        <v>10</v>
      </c>
      <c r="C50" s="20" t="s">
        <v>103</v>
      </c>
      <c r="I50" s="20" t="s">
        <v>10</v>
      </c>
      <c r="J50" s="20" t="s">
        <v>106</v>
      </c>
      <c r="K50" s="20" t="s">
        <v>107</v>
      </c>
      <c r="L50" s="20"/>
      <c r="M50" s="20"/>
      <c r="N50" s="20" t="s">
        <v>108</v>
      </c>
    </row>
    <row r="51" spans="1:14" x14ac:dyDescent="0.25">
      <c r="B51" s="5" t="e">
        <f>'Transmitter Data'!#REF!</f>
        <v>#REF!</v>
      </c>
      <c r="C51" s="21" t="e">
        <f>IF(B51&gt;80,0.025*B51, IF(B51&lt;2, 4/B51,2))</f>
        <v>#REF!</v>
      </c>
      <c r="I51" s="5">
        <v>147</v>
      </c>
      <c r="J51" s="5">
        <v>2</v>
      </c>
      <c r="K51" s="5">
        <v>1</v>
      </c>
      <c r="L51" s="5"/>
      <c r="M51" s="5"/>
      <c r="N51" s="21">
        <f>IF(I51&gt;80,219*((J51*K51)^0.5)/I51,IF(I51&lt;2,1.37*I51*(J51*K51)^0.5,(2.74*(J51*K51)^0.5)))</f>
        <v>2.1068895929231823</v>
      </c>
    </row>
    <row r="53" spans="1:14" x14ac:dyDescent="0.25">
      <c r="A53" t="e">
        <f>'Transmitter Data'!#REF!</f>
        <v>#REF!</v>
      </c>
      <c r="B53" s="149" t="s">
        <v>102</v>
      </c>
      <c r="C53" s="149"/>
      <c r="D53" s="149"/>
      <c r="E53" s="149"/>
      <c r="F53" s="149"/>
      <c r="G53" s="149"/>
      <c r="I53" s="150" t="s">
        <v>105</v>
      </c>
      <c r="J53" s="150"/>
      <c r="K53" s="150"/>
      <c r="L53" s="150"/>
      <c r="M53" s="150"/>
      <c r="N53" s="150"/>
    </row>
    <row r="54" spans="1:14" ht="46.5" x14ac:dyDescent="0.35">
      <c r="B54" s="20" t="s">
        <v>10</v>
      </c>
      <c r="C54" s="20" t="s">
        <v>103</v>
      </c>
      <c r="I54" s="20" t="s">
        <v>10</v>
      </c>
      <c r="J54" s="20" t="s">
        <v>106</v>
      </c>
      <c r="K54" s="20" t="s">
        <v>107</v>
      </c>
      <c r="L54" s="20"/>
      <c r="M54" s="20"/>
      <c r="N54" s="20" t="s">
        <v>108</v>
      </c>
    </row>
    <row r="55" spans="1:14" x14ac:dyDescent="0.25">
      <c r="B55" s="5" t="e">
        <f>'Transmitter Data'!#REF!</f>
        <v>#REF!</v>
      </c>
      <c r="C55" s="21" t="e">
        <f>IF(B55&gt;80,0.00625*B55, IF(B55&lt;2, 1/B55,0.5))</f>
        <v>#REF!</v>
      </c>
      <c r="I55" s="5">
        <v>147</v>
      </c>
      <c r="J55" s="5">
        <v>10</v>
      </c>
      <c r="K55" s="5">
        <v>1</v>
      </c>
      <c r="L55" s="5"/>
      <c r="M55" s="5"/>
      <c r="N55" s="21">
        <f>IF(I55&gt;80,876*((J55*K55)^0.5)/I55,IF(I55&lt;2,5.5*I55*(J55*K55)^0.5,(10.95*(J55*K55)^0.5)))</f>
        <v>18.844593403452382</v>
      </c>
    </row>
    <row r="56" spans="1:14" x14ac:dyDescent="0.25">
      <c r="C56" s="2"/>
    </row>
    <row r="57" spans="1:14" x14ac:dyDescent="0.25">
      <c r="B57" s="149" t="s">
        <v>104</v>
      </c>
      <c r="C57" s="149"/>
      <c r="D57" s="149"/>
      <c r="E57" s="149"/>
      <c r="F57" s="149"/>
      <c r="G57" s="149"/>
      <c r="I57" s="146" t="s">
        <v>109</v>
      </c>
      <c r="J57" s="147"/>
      <c r="K57" s="147"/>
      <c r="L57" s="147"/>
      <c r="M57" s="147"/>
      <c r="N57" s="148"/>
    </row>
    <row r="58" spans="1:14" ht="46.5" x14ac:dyDescent="0.35">
      <c r="B58" s="20" t="s">
        <v>10</v>
      </c>
      <c r="C58" s="20" t="s">
        <v>103</v>
      </c>
      <c r="I58" s="20" t="s">
        <v>10</v>
      </c>
      <c r="J58" s="20" t="s">
        <v>106</v>
      </c>
      <c r="K58" s="20" t="s">
        <v>107</v>
      </c>
      <c r="L58" s="20"/>
      <c r="M58" s="20"/>
      <c r="N58" s="20" t="s">
        <v>108</v>
      </c>
    </row>
    <row r="59" spans="1:14" x14ac:dyDescent="0.25">
      <c r="B59" s="5" t="e">
        <f>'Transmitter Data'!#REF!</f>
        <v>#REF!</v>
      </c>
      <c r="C59" s="21" t="e">
        <f>IF(B59&gt;80,0.025*B59, IF(B59&lt;2, 4/B59,2))</f>
        <v>#REF!</v>
      </c>
      <c r="I59" s="5">
        <v>147</v>
      </c>
      <c r="J59" s="5">
        <v>2</v>
      </c>
      <c r="K59" s="5">
        <v>1</v>
      </c>
      <c r="L59" s="5"/>
      <c r="M59" s="5"/>
      <c r="N59" s="21">
        <f>IF(I59&gt;80,219*((J59*K59)^0.5)/I59,IF(I59&lt;2,1.37*I59*(J59*K59)^0.5,(2.74*(J59*K59)^0.5)))</f>
        <v>2.1068895929231823</v>
      </c>
    </row>
    <row r="61" spans="1:14" x14ac:dyDescent="0.25">
      <c r="A61">
        <f>'Transmitter Data'!A103</f>
        <v>0</v>
      </c>
      <c r="B61" s="149" t="s">
        <v>102</v>
      </c>
      <c r="C61" s="149"/>
      <c r="D61" s="149"/>
      <c r="E61" s="149"/>
      <c r="F61" s="149"/>
      <c r="G61" s="149"/>
      <c r="I61" s="150" t="s">
        <v>105</v>
      </c>
      <c r="J61" s="150"/>
      <c r="K61" s="150"/>
      <c r="L61" s="150"/>
      <c r="M61" s="150"/>
      <c r="N61" s="150"/>
    </row>
    <row r="62" spans="1:14" ht="46.5" x14ac:dyDescent="0.35">
      <c r="B62" s="20" t="s">
        <v>10</v>
      </c>
      <c r="C62" s="20" t="s">
        <v>103</v>
      </c>
      <c r="I62" s="20" t="s">
        <v>10</v>
      </c>
      <c r="J62" s="20" t="s">
        <v>106</v>
      </c>
      <c r="K62" s="20" t="s">
        <v>107</v>
      </c>
      <c r="L62" s="20"/>
      <c r="M62" s="20"/>
      <c r="N62" s="20" t="s">
        <v>108</v>
      </c>
    </row>
    <row r="63" spans="1:14" x14ac:dyDescent="0.25">
      <c r="B63" s="5">
        <f>'Transmitter Data'!C103</f>
        <v>0</v>
      </c>
      <c r="C63" s="21" t="e">
        <f>IF(B63&gt;80,0.00625*B63, IF(B63&lt;2, 1/B63,0.5))</f>
        <v>#DIV/0!</v>
      </c>
      <c r="I63" s="5">
        <v>147</v>
      </c>
      <c r="J63" s="5">
        <v>10</v>
      </c>
      <c r="K63" s="5">
        <v>1</v>
      </c>
      <c r="L63" s="5"/>
      <c r="M63" s="5"/>
      <c r="N63" s="21">
        <f>IF(I63&gt;80,876*((J63*K63)^0.5)/I63,IF(I63&lt;2,5.5*I63*(J63*K63)^0.5,(10.95*(J63*K63)^0.5)))</f>
        <v>18.844593403452382</v>
      </c>
    </row>
    <row r="64" spans="1:14" x14ac:dyDescent="0.25">
      <c r="C64" s="2"/>
    </row>
    <row r="65" spans="1:14" x14ac:dyDescent="0.25">
      <c r="B65" s="149" t="s">
        <v>104</v>
      </c>
      <c r="C65" s="149"/>
      <c r="D65" s="149"/>
      <c r="E65" s="149"/>
      <c r="F65" s="149"/>
      <c r="G65" s="149"/>
      <c r="I65" s="146" t="s">
        <v>109</v>
      </c>
      <c r="J65" s="147"/>
      <c r="K65" s="147"/>
      <c r="L65" s="147"/>
      <c r="M65" s="147"/>
      <c r="N65" s="148"/>
    </row>
    <row r="66" spans="1:14" ht="46.5" x14ac:dyDescent="0.35">
      <c r="B66" s="20" t="s">
        <v>10</v>
      </c>
      <c r="C66" s="20" t="s">
        <v>103</v>
      </c>
      <c r="I66" s="20" t="s">
        <v>10</v>
      </c>
      <c r="J66" s="20" t="s">
        <v>106</v>
      </c>
      <c r="K66" s="20" t="s">
        <v>107</v>
      </c>
      <c r="L66" s="20"/>
      <c r="M66" s="20"/>
      <c r="N66" s="20" t="s">
        <v>108</v>
      </c>
    </row>
    <row r="67" spans="1:14" x14ac:dyDescent="0.25">
      <c r="B67" s="5">
        <f>'Transmitter Data'!C107</f>
        <v>0</v>
      </c>
      <c r="C67" s="21" t="e">
        <f>IF(B67&gt;80,0.025*B67, IF(B67&lt;2, 4/B67,2))</f>
        <v>#DIV/0!</v>
      </c>
      <c r="I67" s="5">
        <v>147</v>
      </c>
      <c r="J67" s="5">
        <v>2</v>
      </c>
      <c r="K67" s="5">
        <v>1</v>
      </c>
      <c r="L67" s="5"/>
      <c r="M67" s="5"/>
      <c r="N67" s="21">
        <f>IF(I67&gt;80,219*((J67*K67)^0.5)/I67,IF(I67&lt;2,1.37*I67*(J67*K67)^0.5,(2.74*(J67*K67)^0.5)))</f>
        <v>2.1068895929231823</v>
      </c>
    </row>
    <row r="69" spans="1:14" x14ac:dyDescent="0.25">
      <c r="A69">
        <f>'Transmitter Data'!A111</f>
        <v>0</v>
      </c>
      <c r="B69" s="149" t="s">
        <v>102</v>
      </c>
      <c r="C69" s="149"/>
      <c r="D69" s="149"/>
      <c r="E69" s="149"/>
      <c r="F69" s="149"/>
      <c r="G69" s="149"/>
      <c r="I69" s="150" t="s">
        <v>105</v>
      </c>
      <c r="J69" s="150"/>
      <c r="K69" s="150"/>
      <c r="L69" s="150"/>
      <c r="M69" s="150"/>
      <c r="N69" s="150"/>
    </row>
    <row r="70" spans="1:14" ht="46.5" x14ac:dyDescent="0.35">
      <c r="B70" s="20" t="s">
        <v>10</v>
      </c>
      <c r="C70" s="20" t="s">
        <v>103</v>
      </c>
      <c r="I70" s="20" t="s">
        <v>10</v>
      </c>
      <c r="J70" s="20" t="s">
        <v>106</v>
      </c>
      <c r="K70" s="20" t="s">
        <v>107</v>
      </c>
      <c r="L70" s="20"/>
      <c r="M70" s="20"/>
      <c r="N70" s="20" t="s">
        <v>108</v>
      </c>
    </row>
    <row r="71" spans="1:14" x14ac:dyDescent="0.25">
      <c r="B71" s="5">
        <f>'Transmitter Data'!C111</f>
        <v>0</v>
      </c>
      <c r="C71" s="21" t="e">
        <f>IF(B71&gt;80,0.00625*B71, IF(B71&lt;2, 1/B71,0.5))</f>
        <v>#DIV/0!</v>
      </c>
      <c r="I71" s="5">
        <v>147</v>
      </c>
      <c r="J71" s="5">
        <v>10</v>
      </c>
      <c r="K71" s="5">
        <v>1</v>
      </c>
      <c r="L71" s="5"/>
      <c r="M71" s="5"/>
      <c r="N71" s="21">
        <f>IF(I71&gt;80,876*((J71*K71)^0.5)/I71,IF(I71&lt;2,5.5*I71*(J71*K71)^0.5,(10.95*(J71*K71)^0.5)))</f>
        <v>18.844593403452382</v>
      </c>
    </row>
    <row r="72" spans="1:14" x14ac:dyDescent="0.25">
      <c r="C72" s="2"/>
    </row>
    <row r="73" spans="1:14" x14ac:dyDescent="0.25">
      <c r="B73" s="149" t="s">
        <v>104</v>
      </c>
      <c r="C73" s="149"/>
      <c r="D73" s="149"/>
      <c r="E73" s="149"/>
      <c r="F73" s="149"/>
      <c r="G73" s="149"/>
      <c r="I73" s="146" t="s">
        <v>109</v>
      </c>
      <c r="J73" s="147"/>
      <c r="K73" s="147"/>
      <c r="L73" s="147"/>
      <c r="M73" s="147"/>
      <c r="N73" s="148"/>
    </row>
    <row r="74" spans="1:14" ht="46.5" x14ac:dyDescent="0.35">
      <c r="B74" s="20" t="s">
        <v>10</v>
      </c>
      <c r="C74" s="20" t="s">
        <v>103</v>
      </c>
      <c r="I74" s="20" t="s">
        <v>10</v>
      </c>
      <c r="J74" s="20" t="s">
        <v>106</v>
      </c>
      <c r="K74" s="20" t="s">
        <v>107</v>
      </c>
      <c r="L74" s="20"/>
      <c r="M74" s="20"/>
      <c r="N74" s="20" t="s">
        <v>108</v>
      </c>
    </row>
    <row r="75" spans="1:14" x14ac:dyDescent="0.25">
      <c r="B75" s="5">
        <v>147</v>
      </c>
      <c r="C75" s="21">
        <f>IF(B75&gt;80,0.025*B75, IF(B75&lt;2, 4/B75,2))</f>
        <v>3.6750000000000003</v>
      </c>
      <c r="I75" s="5">
        <v>147</v>
      </c>
      <c r="J75" s="5">
        <v>2</v>
      </c>
      <c r="K75" s="5">
        <v>1</v>
      </c>
      <c r="L75" s="5"/>
      <c r="M75" s="5"/>
      <c r="N75" s="21">
        <f>IF(I75&gt;80,219*((J75*K75)^0.5)/I75,IF(I75&lt;2,1.37*I75*(J75*K75)^0.5,(2.74*(J75*K75)^0.5)))</f>
        <v>2.1068895929231823</v>
      </c>
    </row>
    <row r="77" spans="1:14" x14ac:dyDescent="0.25">
      <c r="A77">
        <f>'Transmitter Data'!A119</f>
        <v>0</v>
      </c>
      <c r="B77" s="149" t="s">
        <v>102</v>
      </c>
      <c r="C77" s="149"/>
      <c r="D77" s="149"/>
      <c r="E77" s="149"/>
      <c r="F77" s="149"/>
      <c r="G77" s="149"/>
      <c r="I77" s="150" t="s">
        <v>105</v>
      </c>
      <c r="J77" s="150"/>
      <c r="K77" s="150"/>
      <c r="L77" s="150"/>
      <c r="M77" s="150"/>
      <c r="N77" s="150"/>
    </row>
    <row r="78" spans="1:14" ht="46.5" x14ac:dyDescent="0.35">
      <c r="B78" s="20" t="s">
        <v>10</v>
      </c>
      <c r="C78" s="20" t="s">
        <v>103</v>
      </c>
      <c r="I78" s="20" t="s">
        <v>10</v>
      </c>
      <c r="J78" s="20" t="s">
        <v>106</v>
      </c>
      <c r="K78" s="20" t="s">
        <v>107</v>
      </c>
      <c r="L78" s="20"/>
      <c r="M78" s="20"/>
      <c r="N78" s="20" t="s">
        <v>108</v>
      </c>
    </row>
    <row r="79" spans="1:14" x14ac:dyDescent="0.25">
      <c r="B79" s="5">
        <v>147</v>
      </c>
      <c r="C79" s="21">
        <f>IF(B79&gt;80,0.00625*B79, IF(B79&lt;2, 1/B79,0.5))</f>
        <v>0.91875000000000007</v>
      </c>
      <c r="I79" s="5">
        <v>147</v>
      </c>
      <c r="J79" s="5">
        <v>10</v>
      </c>
      <c r="K79" s="5">
        <v>1</v>
      </c>
      <c r="L79" s="5"/>
      <c r="M79" s="5"/>
      <c r="N79" s="21">
        <f>IF(I79&gt;80,876*((J79*K79)^0.5)/I79,IF(I79&lt;2,5.5*I79*(J79*K79)^0.5,(10.95*(J79*K79)^0.5)))</f>
        <v>18.844593403452382</v>
      </c>
    </row>
    <row r="80" spans="1:14" x14ac:dyDescent="0.25">
      <c r="C80" s="2"/>
    </row>
    <row r="81" spans="1:14" x14ac:dyDescent="0.25">
      <c r="B81" s="149" t="s">
        <v>104</v>
      </c>
      <c r="C81" s="149"/>
      <c r="D81" s="149"/>
      <c r="E81" s="149"/>
      <c r="F81" s="149"/>
      <c r="G81" s="149"/>
      <c r="I81" s="146" t="s">
        <v>109</v>
      </c>
      <c r="J81" s="147"/>
      <c r="K81" s="147"/>
      <c r="L81" s="147"/>
      <c r="M81" s="147"/>
      <c r="N81" s="148"/>
    </row>
    <row r="82" spans="1:14" ht="46.5" x14ac:dyDescent="0.35">
      <c r="B82" s="20" t="s">
        <v>10</v>
      </c>
      <c r="C82" s="20" t="s">
        <v>103</v>
      </c>
      <c r="I82" s="20" t="s">
        <v>10</v>
      </c>
      <c r="J82" s="20" t="s">
        <v>106</v>
      </c>
      <c r="K82" s="20" t="s">
        <v>107</v>
      </c>
      <c r="L82" s="20"/>
      <c r="M82" s="20"/>
      <c r="N82" s="20" t="s">
        <v>108</v>
      </c>
    </row>
    <row r="83" spans="1:14" x14ac:dyDescent="0.25">
      <c r="B83" s="5">
        <v>147</v>
      </c>
      <c r="C83" s="21">
        <f>IF(B83&gt;80,0.025*B83, IF(B83&lt;2, 4/B83,2))</f>
        <v>3.6750000000000003</v>
      </c>
      <c r="I83" s="5">
        <v>147</v>
      </c>
      <c r="J83" s="5">
        <v>2</v>
      </c>
      <c r="K83" s="5">
        <v>1</v>
      </c>
      <c r="L83" s="5"/>
      <c r="M83" s="5"/>
      <c r="N83" s="21">
        <f>IF(I83&gt;80,219*((J83*K83)^0.5)/I83,IF(I83&lt;2,1.37*I83*(J83*K83)^0.5,(2.74*(J83*K83)^0.5)))</f>
        <v>2.1068895929231823</v>
      </c>
    </row>
    <row r="85" spans="1:14" x14ac:dyDescent="0.25">
      <c r="A85">
        <f>'Transmitter Data'!A127</f>
        <v>0</v>
      </c>
      <c r="B85" s="149" t="s">
        <v>102</v>
      </c>
      <c r="C85" s="149"/>
      <c r="D85" s="149"/>
      <c r="E85" s="149"/>
      <c r="F85" s="149"/>
      <c r="G85" s="149"/>
      <c r="I85" s="150" t="s">
        <v>105</v>
      </c>
      <c r="J85" s="150"/>
      <c r="K85" s="150"/>
      <c r="L85" s="150"/>
      <c r="M85" s="150"/>
      <c r="N85" s="150"/>
    </row>
    <row r="86" spans="1:14" ht="46.5" x14ac:dyDescent="0.35">
      <c r="B86" s="20" t="s">
        <v>10</v>
      </c>
      <c r="C86" s="20" t="s">
        <v>103</v>
      </c>
      <c r="I86" s="20" t="s">
        <v>10</v>
      </c>
      <c r="J86" s="20" t="s">
        <v>106</v>
      </c>
      <c r="K86" s="20" t="s">
        <v>107</v>
      </c>
      <c r="L86" s="20"/>
      <c r="M86" s="20"/>
      <c r="N86" s="20" t="s">
        <v>108</v>
      </c>
    </row>
    <row r="87" spans="1:14" x14ac:dyDescent="0.25">
      <c r="B87" s="5">
        <f>'Transmitter Data'!C127</f>
        <v>0</v>
      </c>
      <c r="C87" s="21" t="e">
        <f>IF(B87&gt;80,0.00625*B87, IF(B87&lt;2, 1/B87,0.5))</f>
        <v>#DIV/0!</v>
      </c>
      <c r="I87" s="5">
        <v>147</v>
      </c>
      <c r="J87" s="5">
        <v>10</v>
      </c>
      <c r="K87" s="5">
        <v>1</v>
      </c>
      <c r="L87" s="5"/>
      <c r="M87" s="5"/>
      <c r="N87" s="21">
        <f>IF(I87&gt;80,876*((J87*K87)^0.5)/I87,IF(I87&lt;2,5.5*I87*(J87*K87)^0.5,(10.95*(J87*K87)^0.5)))</f>
        <v>18.844593403452382</v>
      </c>
    </row>
    <row r="88" spans="1:14" x14ac:dyDescent="0.25">
      <c r="C88" s="2"/>
    </row>
    <row r="89" spans="1:14" x14ac:dyDescent="0.25">
      <c r="B89" s="149" t="s">
        <v>104</v>
      </c>
      <c r="C89" s="149"/>
      <c r="D89" s="149"/>
      <c r="E89" s="149"/>
      <c r="F89" s="149"/>
      <c r="G89" s="149"/>
      <c r="I89" s="146" t="s">
        <v>109</v>
      </c>
      <c r="J89" s="147"/>
      <c r="K89" s="147"/>
      <c r="L89" s="147"/>
      <c r="M89" s="147"/>
      <c r="N89" s="148"/>
    </row>
    <row r="90" spans="1:14" ht="46.5" x14ac:dyDescent="0.35">
      <c r="B90" s="20" t="s">
        <v>10</v>
      </c>
      <c r="C90" s="20" t="s">
        <v>103</v>
      </c>
      <c r="I90" s="20" t="s">
        <v>10</v>
      </c>
      <c r="J90" s="20" t="s">
        <v>106</v>
      </c>
      <c r="K90" s="20" t="s">
        <v>107</v>
      </c>
      <c r="L90" s="20"/>
      <c r="M90" s="20"/>
      <c r="N90" s="20" t="s">
        <v>108</v>
      </c>
    </row>
    <row r="91" spans="1:14" x14ac:dyDescent="0.25">
      <c r="B91" s="5">
        <f>'Transmitter Data'!C131</f>
        <v>0</v>
      </c>
      <c r="C91" s="21" t="e">
        <f>IF(B91&gt;80,0.025*B91, IF(B91&lt;2, 4/B91,2))</f>
        <v>#DIV/0!</v>
      </c>
      <c r="I91" s="5">
        <v>147</v>
      </c>
      <c r="J91" s="5">
        <v>2</v>
      </c>
      <c r="K91" s="5">
        <v>1</v>
      </c>
      <c r="L91" s="5"/>
      <c r="M91" s="5"/>
      <c r="N91" s="21">
        <f>IF(I91&gt;80,219*((J91*K91)^0.5)/I91,IF(I91&lt;2,1.37*I91*(J91*K91)^0.5,(2.74*(J91*K91)^0.5)))</f>
        <v>2.1068895929231823</v>
      </c>
    </row>
    <row r="93" spans="1:14" x14ac:dyDescent="0.25">
      <c r="A93">
        <f>'Transmitter Data'!A135</f>
        <v>0</v>
      </c>
      <c r="B93" s="149" t="s">
        <v>102</v>
      </c>
      <c r="C93" s="149"/>
      <c r="D93" s="149"/>
      <c r="E93" s="149"/>
      <c r="F93" s="149"/>
      <c r="G93" s="149"/>
      <c r="I93" s="150" t="s">
        <v>105</v>
      </c>
      <c r="J93" s="150"/>
      <c r="K93" s="150"/>
      <c r="L93" s="150"/>
      <c r="M93" s="150"/>
      <c r="N93" s="150"/>
    </row>
    <row r="94" spans="1:14" ht="46.5" x14ac:dyDescent="0.35">
      <c r="B94" s="20" t="s">
        <v>10</v>
      </c>
      <c r="C94" s="20" t="s">
        <v>103</v>
      </c>
      <c r="I94" s="20" t="s">
        <v>10</v>
      </c>
      <c r="J94" s="20" t="s">
        <v>106</v>
      </c>
      <c r="K94" s="20" t="s">
        <v>107</v>
      </c>
      <c r="L94" s="20"/>
      <c r="M94" s="20"/>
      <c r="N94" s="20" t="s">
        <v>108</v>
      </c>
    </row>
    <row r="95" spans="1:14" x14ac:dyDescent="0.25">
      <c r="B95" s="5">
        <f>'Transmitter Data'!C135</f>
        <v>0</v>
      </c>
      <c r="C95" s="21" t="e">
        <f>IF(B95&gt;80,0.00625*B95, IF(B95&lt;2, 1/B95,0.5))</f>
        <v>#DIV/0!</v>
      </c>
      <c r="I95" s="5">
        <v>147</v>
      </c>
      <c r="J95" s="5">
        <v>10</v>
      </c>
      <c r="K95" s="5">
        <v>1</v>
      </c>
      <c r="L95" s="5"/>
      <c r="M95" s="5"/>
      <c r="N95" s="21">
        <f>IF(I95&gt;80,876*((J95*K95)^0.5)/I95,IF(I95&lt;2,5.5*I95*(J95*K95)^0.5,(10.95*(J95*K95)^0.5)))</f>
        <v>18.844593403452382</v>
      </c>
    </row>
    <row r="96" spans="1:14" x14ac:dyDescent="0.25">
      <c r="C96" s="2"/>
    </row>
    <row r="97" spans="1:14" x14ac:dyDescent="0.25">
      <c r="B97" s="149" t="s">
        <v>104</v>
      </c>
      <c r="C97" s="149"/>
      <c r="D97" s="149"/>
      <c r="E97" s="149"/>
      <c r="F97" s="149"/>
      <c r="G97" s="149"/>
      <c r="I97" s="146" t="s">
        <v>109</v>
      </c>
      <c r="J97" s="147"/>
      <c r="K97" s="147"/>
      <c r="L97" s="147"/>
      <c r="M97" s="147"/>
      <c r="N97" s="148"/>
    </row>
    <row r="98" spans="1:14" ht="46.5" x14ac:dyDescent="0.35">
      <c r="B98" s="20" t="s">
        <v>10</v>
      </c>
      <c r="C98" s="20" t="s">
        <v>103</v>
      </c>
      <c r="I98" s="20" t="s">
        <v>10</v>
      </c>
      <c r="J98" s="20" t="s">
        <v>106</v>
      </c>
      <c r="K98" s="20" t="s">
        <v>107</v>
      </c>
      <c r="L98" s="20"/>
      <c r="M98" s="20"/>
      <c r="N98" s="20" t="s">
        <v>108</v>
      </c>
    </row>
    <row r="99" spans="1:14" x14ac:dyDescent="0.25">
      <c r="B99" s="5">
        <f>'Transmitter Data'!C139</f>
        <v>0</v>
      </c>
      <c r="C99" s="21" t="e">
        <f>IF(B99&gt;80,0.025*B99, IF(B99&lt;2, 4/B99,2))</f>
        <v>#DIV/0!</v>
      </c>
      <c r="I99" s="5">
        <v>147</v>
      </c>
      <c r="J99" s="5">
        <v>2</v>
      </c>
      <c r="K99" s="5">
        <v>1</v>
      </c>
      <c r="L99" s="5"/>
      <c r="M99" s="5"/>
      <c r="N99" s="21">
        <f>IF(I99&gt;80,219*((J99*K99)^0.5)/I99,IF(I99&lt;2,1.37*I99*(J99*K99)^0.5,(2.74*(J99*K99)^0.5)))</f>
        <v>2.1068895929231823</v>
      </c>
    </row>
    <row r="101" spans="1:14" x14ac:dyDescent="0.25">
      <c r="A101">
        <f>'Transmitter Data'!A143</f>
        <v>0</v>
      </c>
      <c r="B101" s="149" t="s">
        <v>102</v>
      </c>
      <c r="C101" s="149"/>
      <c r="D101" s="149"/>
      <c r="E101" s="149"/>
      <c r="F101" s="149"/>
      <c r="G101" s="149"/>
      <c r="I101" s="150" t="s">
        <v>105</v>
      </c>
      <c r="J101" s="150"/>
      <c r="K101" s="150"/>
      <c r="L101" s="150"/>
      <c r="M101" s="150"/>
      <c r="N101" s="150"/>
    </row>
    <row r="102" spans="1:14" ht="46.5" x14ac:dyDescent="0.35">
      <c r="B102" s="20" t="s">
        <v>10</v>
      </c>
      <c r="C102" s="20" t="s">
        <v>103</v>
      </c>
      <c r="I102" s="20" t="s">
        <v>10</v>
      </c>
      <c r="J102" s="20" t="s">
        <v>106</v>
      </c>
      <c r="K102" s="20" t="s">
        <v>107</v>
      </c>
      <c r="L102" s="20"/>
      <c r="M102" s="20"/>
      <c r="N102" s="20" t="s">
        <v>108</v>
      </c>
    </row>
    <row r="103" spans="1:14" x14ac:dyDescent="0.25">
      <c r="B103" s="5">
        <f>'Transmitter Data'!C143</f>
        <v>0</v>
      </c>
      <c r="C103" s="21" t="e">
        <f>IF(B103&gt;80,0.00625*B103, IF(B103&lt;2, 1/B103,0.5))</f>
        <v>#DIV/0!</v>
      </c>
      <c r="I103" s="5">
        <v>147</v>
      </c>
      <c r="J103" s="5">
        <v>10</v>
      </c>
      <c r="K103" s="5">
        <v>1</v>
      </c>
      <c r="L103" s="5"/>
      <c r="M103" s="5"/>
      <c r="N103" s="21">
        <f>IF(I103&gt;80,876*((J103*K103)^0.5)/I103,IF(I103&lt;2,5.5*I103*(J103*K103)^0.5,(10.95*(J103*K103)^0.5)))</f>
        <v>18.844593403452382</v>
      </c>
    </row>
    <row r="104" spans="1:14" x14ac:dyDescent="0.25">
      <c r="C104" s="2"/>
    </row>
    <row r="105" spans="1:14" x14ac:dyDescent="0.25">
      <c r="B105" s="149" t="s">
        <v>104</v>
      </c>
      <c r="C105" s="149"/>
      <c r="D105" s="149"/>
      <c r="E105" s="149"/>
      <c r="F105" s="149"/>
      <c r="G105" s="149"/>
      <c r="I105" s="146" t="s">
        <v>109</v>
      </c>
      <c r="J105" s="147"/>
      <c r="K105" s="147"/>
      <c r="L105" s="147"/>
      <c r="M105" s="147"/>
      <c r="N105" s="148"/>
    </row>
    <row r="106" spans="1:14" ht="46.5" x14ac:dyDescent="0.35">
      <c r="B106" s="20" t="s">
        <v>10</v>
      </c>
      <c r="C106" s="20" t="s">
        <v>103</v>
      </c>
      <c r="I106" s="20" t="s">
        <v>10</v>
      </c>
      <c r="J106" s="20" t="s">
        <v>106</v>
      </c>
      <c r="K106" s="20" t="s">
        <v>107</v>
      </c>
      <c r="L106" s="20"/>
      <c r="M106" s="20"/>
      <c r="N106" s="20" t="s">
        <v>108</v>
      </c>
    </row>
    <row r="107" spans="1:14" x14ac:dyDescent="0.25">
      <c r="B107" s="5">
        <f>'Transmitter Data'!C147</f>
        <v>0</v>
      </c>
      <c r="C107" s="21" t="e">
        <f>IF(B107&gt;80,0.025*B107, IF(B107&lt;2, 4/B107,2))</f>
        <v>#DIV/0!</v>
      </c>
      <c r="I107" s="5">
        <v>147</v>
      </c>
      <c r="J107" s="5">
        <v>2</v>
      </c>
      <c r="K107" s="5">
        <v>1</v>
      </c>
      <c r="L107" s="5"/>
      <c r="M107" s="5"/>
      <c r="N107" s="21">
        <f>IF(I107&gt;80,219*((J107*K107)^0.5)/I107,IF(I107&lt;2,1.37*I107*(J107*K107)^0.5,(2.74*(J107*K107)^0.5)))</f>
        <v>2.1068895929231823</v>
      </c>
    </row>
    <row r="109" spans="1:14" x14ac:dyDescent="0.25">
      <c r="A109">
        <f>'Transmitter Data'!A151</f>
        <v>0</v>
      </c>
      <c r="B109" s="149" t="s">
        <v>102</v>
      </c>
      <c r="C109" s="149"/>
      <c r="D109" s="149"/>
      <c r="E109" s="149"/>
      <c r="F109" s="149"/>
      <c r="G109" s="149"/>
      <c r="I109" s="150" t="s">
        <v>105</v>
      </c>
      <c r="J109" s="150"/>
      <c r="K109" s="150"/>
      <c r="L109" s="150"/>
      <c r="M109" s="150"/>
      <c r="N109" s="150"/>
    </row>
    <row r="110" spans="1:14" ht="46.5" x14ac:dyDescent="0.35">
      <c r="B110" s="20" t="s">
        <v>10</v>
      </c>
      <c r="C110" s="20" t="s">
        <v>103</v>
      </c>
      <c r="I110" s="20" t="s">
        <v>10</v>
      </c>
      <c r="J110" s="20" t="s">
        <v>106</v>
      </c>
      <c r="K110" s="20" t="s">
        <v>107</v>
      </c>
      <c r="L110" s="20"/>
      <c r="M110" s="20"/>
      <c r="N110" s="20" t="s">
        <v>108</v>
      </c>
    </row>
    <row r="111" spans="1:14" x14ac:dyDescent="0.25">
      <c r="B111" s="5">
        <f>'Transmitter Data'!C151</f>
        <v>0</v>
      </c>
      <c r="C111" s="21" t="e">
        <f>IF(B111&gt;80,0.00625*B111, IF(B111&lt;2, 1/B111,0.5))</f>
        <v>#DIV/0!</v>
      </c>
      <c r="I111" s="5">
        <v>147</v>
      </c>
      <c r="J111" s="5">
        <v>10</v>
      </c>
      <c r="K111" s="5">
        <v>1</v>
      </c>
      <c r="L111" s="5"/>
      <c r="M111" s="5"/>
      <c r="N111" s="21">
        <f>IF(I111&gt;80,876*((J111*K111)^0.5)/I111,IF(I111&lt;2,5.5*I111*(J111*K111)^0.5,(10.95*(J111*K111)^0.5)))</f>
        <v>18.844593403452382</v>
      </c>
    </row>
    <row r="112" spans="1:14" x14ac:dyDescent="0.25">
      <c r="C112" s="2"/>
    </row>
    <row r="113" spans="1:14" x14ac:dyDescent="0.25">
      <c r="B113" s="149" t="s">
        <v>104</v>
      </c>
      <c r="C113" s="149"/>
      <c r="D113" s="149"/>
      <c r="E113" s="149"/>
      <c r="F113" s="149"/>
      <c r="G113" s="149"/>
      <c r="I113" s="146" t="s">
        <v>109</v>
      </c>
      <c r="J113" s="147"/>
      <c r="K113" s="147"/>
      <c r="L113" s="147"/>
      <c r="M113" s="147"/>
      <c r="N113" s="148"/>
    </row>
    <row r="114" spans="1:14" ht="46.5" x14ac:dyDescent="0.35">
      <c r="B114" s="20" t="s">
        <v>10</v>
      </c>
      <c r="C114" s="20" t="s">
        <v>103</v>
      </c>
      <c r="I114" s="20" t="s">
        <v>10</v>
      </c>
      <c r="J114" s="20" t="s">
        <v>106</v>
      </c>
      <c r="K114" s="20" t="s">
        <v>107</v>
      </c>
      <c r="L114" s="20"/>
      <c r="M114" s="20"/>
      <c r="N114" s="20" t="s">
        <v>108</v>
      </c>
    </row>
    <row r="115" spans="1:14" x14ac:dyDescent="0.25">
      <c r="B115" s="5">
        <f>'Transmitter Data'!C155</f>
        <v>0</v>
      </c>
      <c r="C115" s="21" t="e">
        <f>IF(B115&gt;80,0.025*B115, IF(B115&lt;2, 4/B115,2))</f>
        <v>#DIV/0!</v>
      </c>
      <c r="I115" s="5">
        <v>147</v>
      </c>
      <c r="J115" s="5">
        <v>2</v>
      </c>
      <c r="K115" s="5">
        <v>1</v>
      </c>
      <c r="L115" s="5"/>
      <c r="M115" s="5"/>
      <c r="N115" s="21">
        <f>IF(I115&gt;80,219*((J115*K115)^0.5)/I115,IF(I115&lt;2,1.37*I115*(J115*K115)^0.5,(2.74*(J115*K115)^0.5)))</f>
        <v>2.1068895929231823</v>
      </c>
    </row>
    <row r="117" spans="1:14" x14ac:dyDescent="0.25">
      <c r="A117">
        <f>'Transmitter Data'!A159</f>
        <v>0</v>
      </c>
      <c r="B117" s="149" t="s">
        <v>102</v>
      </c>
      <c r="C117" s="149"/>
      <c r="D117" s="149"/>
      <c r="E117" s="149"/>
      <c r="F117" s="149"/>
      <c r="G117" s="149"/>
      <c r="I117" s="150" t="s">
        <v>105</v>
      </c>
      <c r="J117" s="150"/>
      <c r="K117" s="150"/>
      <c r="L117" s="150"/>
      <c r="M117" s="150"/>
      <c r="N117" s="150"/>
    </row>
    <row r="118" spans="1:14" ht="46.5" x14ac:dyDescent="0.35">
      <c r="B118" s="20" t="s">
        <v>10</v>
      </c>
      <c r="C118" s="20" t="s">
        <v>103</v>
      </c>
      <c r="I118" s="20" t="s">
        <v>10</v>
      </c>
      <c r="J118" s="20" t="s">
        <v>106</v>
      </c>
      <c r="K118" s="20" t="s">
        <v>107</v>
      </c>
      <c r="L118" s="20"/>
      <c r="M118" s="20"/>
      <c r="N118" s="20" t="s">
        <v>108</v>
      </c>
    </row>
    <row r="119" spans="1:14" x14ac:dyDescent="0.25">
      <c r="B119" s="5">
        <f>'Transmitter Data'!C159</f>
        <v>0</v>
      </c>
      <c r="C119" s="21" t="e">
        <f>IF(B119&gt;80,0.00625*B119, IF(B119&lt;2, 1/B119,0.5))</f>
        <v>#DIV/0!</v>
      </c>
      <c r="I119" s="5">
        <v>147</v>
      </c>
      <c r="J119" s="5">
        <v>10</v>
      </c>
      <c r="K119" s="5">
        <v>1</v>
      </c>
      <c r="L119" s="5"/>
      <c r="M119" s="5"/>
      <c r="N119" s="21">
        <f>IF(I119&gt;80,876*((J119*K119)^0.5)/I119,IF(I119&lt;2,5.5*I119*(J119*K119)^0.5,(10.95*(J119*K119)^0.5)))</f>
        <v>18.844593403452382</v>
      </c>
    </row>
    <row r="120" spans="1:14" x14ac:dyDescent="0.25">
      <c r="C120" s="2"/>
    </row>
    <row r="121" spans="1:14" x14ac:dyDescent="0.25">
      <c r="B121" s="149" t="s">
        <v>104</v>
      </c>
      <c r="C121" s="149"/>
      <c r="D121" s="149"/>
      <c r="E121" s="149"/>
      <c r="F121" s="149"/>
      <c r="G121" s="149"/>
      <c r="I121" s="146" t="s">
        <v>109</v>
      </c>
      <c r="J121" s="147"/>
      <c r="K121" s="147"/>
      <c r="L121" s="147"/>
      <c r="M121" s="147"/>
      <c r="N121" s="148"/>
    </row>
    <row r="122" spans="1:14" ht="46.5" x14ac:dyDescent="0.35">
      <c r="B122" s="20" t="s">
        <v>10</v>
      </c>
      <c r="C122" s="20" t="s">
        <v>103</v>
      </c>
      <c r="I122" s="20" t="s">
        <v>10</v>
      </c>
      <c r="J122" s="20" t="s">
        <v>106</v>
      </c>
      <c r="K122" s="20" t="s">
        <v>107</v>
      </c>
      <c r="L122" s="20"/>
      <c r="M122" s="20"/>
      <c r="N122" s="20" t="s">
        <v>108</v>
      </c>
    </row>
    <row r="123" spans="1:14" x14ac:dyDescent="0.25">
      <c r="B123" s="5">
        <f>'Transmitter Data'!C163</f>
        <v>0</v>
      </c>
      <c r="C123" s="21" t="e">
        <f>IF(B123&gt;80,0.025*B123, IF(B123&lt;2, 4/B123,2))</f>
        <v>#DIV/0!</v>
      </c>
      <c r="I123" s="5">
        <v>147</v>
      </c>
      <c r="J123" s="5">
        <v>2</v>
      </c>
      <c r="K123" s="5">
        <v>1</v>
      </c>
      <c r="L123" s="5"/>
      <c r="M123" s="5"/>
      <c r="N123" s="21">
        <f>IF(I123&gt;80,219*((J123*K123)^0.5)/I123,IF(I123&lt;2,1.37*I123*(J123*K123)^0.5,(2.74*(J123*K123)^0.5)))</f>
        <v>2.1068895929231823</v>
      </c>
    </row>
    <row r="125" spans="1:14" x14ac:dyDescent="0.25">
      <c r="A125">
        <f>'Transmitter Data'!A167</f>
        <v>0</v>
      </c>
      <c r="B125" s="149" t="s">
        <v>102</v>
      </c>
      <c r="C125" s="149"/>
      <c r="D125" s="149"/>
      <c r="E125" s="149"/>
      <c r="F125" s="149"/>
      <c r="G125" s="149"/>
      <c r="I125" s="150" t="s">
        <v>105</v>
      </c>
      <c r="J125" s="150"/>
      <c r="K125" s="150"/>
      <c r="L125" s="150"/>
      <c r="M125" s="150"/>
      <c r="N125" s="150"/>
    </row>
    <row r="126" spans="1:14" ht="46.5" x14ac:dyDescent="0.35">
      <c r="B126" s="20" t="s">
        <v>10</v>
      </c>
      <c r="C126" s="20" t="s">
        <v>103</v>
      </c>
      <c r="I126" s="20" t="s">
        <v>10</v>
      </c>
      <c r="J126" s="20" t="s">
        <v>106</v>
      </c>
      <c r="K126" s="20" t="s">
        <v>107</v>
      </c>
      <c r="L126" s="20"/>
      <c r="M126" s="20"/>
      <c r="N126" s="20" t="s">
        <v>108</v>
      </c>
    </row>
    <row r="127" spans="1:14" x14ac:dyDescent="0.25">
      <c r="B127" s="5">
        <f>'Transmitter Data'!C167</f>
        <v>0</v>
      </c>
      <c r="C127" s="21" t="e">
        <f>IF(B127&gt;80,0.00625*B127, IF(B127&lt;2, 1/B127,0.5))</f>
        <v>#DIV/0!</v>
      </c>
      <c r="I127" s="5">
        <v>147</v>
      </c>
      <c r="J127" s="5">
        <v>10</v>
      </c>
      <c r="K127" s="5">
        <v>1</v>
      </c>
      <c r="L127" s="5"/>
      <c r="M127" s="5"/>
      <c r="N127" s="21">
        <f>IF(I127&gt;80,876*((J127*K127)^0.5)/I127,IF(I127&lt;2,5.5*I127*(J127*K127)^0.5,(10.95*(J127*K127)^0.5)))</f>
        <v>18.844593403452382</v>
      </c>
    </row>
    <row r="128" spans="1:14" x14ac:dyDescent="0.25">
      <c r="C128" s="2"/>
    </row>
    <row r="129" spans="1:14" x14ac:dyDescent="0.25">
      <c r="B129" s="149" t="s">
        <v>104</v>
      </c>
      <c r="C129" s="149"/>
      <c r="D129" s="149"/>
      <c r="E129" s="149"/>
      <c r="F129" s="149"/>
      <c r="G129" s="149"/>
      <c r="I129" s="146" t="s">
        <v>109</v>
      </c>
      <c r="J129" s="147"/>
      <c r="K129" s="147"/>
      <c r="L129" s="147"/>
      <c r="M129" s="147"/>
      <c r="N129" s="148"/>
    </row>
    <row r="130" spans="1:14" ht="46.5" x14ac:dyDescent="0.35">
      <c r="B130" s="20" t="s">
        <v>10</v>
      </c>
      <c r="C130" s="20" t="s">
        <v>103</v>
      </c>
      <c r="I130" s="20" t="s">
        <v>10</v>
      </c>
      <c r="J130" s="20" t="s">
        <v>106</v>
      </c>
      <c r="K130" s="20" t="s">
        <v>107</v>
      </c>
      <c r="L130" s="20"/>
      <c r="M130" s="20"/>
      <c r="N130" s="20" t="s">
        <v>108</v>
      </c>
    </row>
    <row r="131" spans="1:14" x14ac:dyDescent="0.25">
      <c r="B131" s="5">
        <f>'Transmitter Data'!C171</f>
        <v>0</v>
      </c>
      <c r="C131" s="21" t="e">
        <f>IF(B131&gt;80,0.025*B131, IF(B131&lt;2, 4/B131,2))</f>
        <v>#DIV/0!</v>
      </c>
      <c r="I131" s="5">
        <v>147</v>
      </c>
      <c r="J131" s="5">
        <v>2</v>
      </c>
      <c r="K131" s="5">
        <v>1</v>
      </c>
      <c r="L131" s="5"/>
      <c r="M131" s="5"/>
      <c r="N131" s="21">
        <f>IF(I131&gt;80,219*((J131*K131)^0.5)/I131,IF(I131&lt;2,1.37*I131*(J131*K131)^0.5,(2.74*(J131*K131)^0.5)))</f>
        <v>2.1068895929231823</v>
      </c>
    </row>
    <row r="134" spans="1:14" x14ac:dyDescent="0.25">
      <c r="A134">
        <f>'Transmitter Data'!A176</f>
        <v>0</v>
      </c>
      <c r="B134" s="149" t="s">
        <v>102</v>
      </c>
      <c r="C134" s="149"/>
      <c r="D134" s="149"/>
      <c r="E134" s="149"/>
      <c r="F134" s="149"/>
      <c r="G134" s="149"/>
      <c r="I134" s="150" t="s">
        <v>105</v>
      </c>
      <c r="J134" s="150"/>
      <c r="K134" s="150"/>
      <c r="L134" s="150"/>
      <c r="M134" s="150"/>
      <c r="N134" s="150"/>
    </row>
    <row r="135" spans="1:14" ht="46.5" x14ac:dyDescent="0.35">
      <c r="B135" s="20" t="s">
        <v>10</v>
      </c>
      <c r="C135" s="20" t="s">
        <v>103</v>
      </c>
      <c r="I135" s="20" t="s">
        <v>10</v>
      </c>
      <c r="J135" s="20" t="s">
        <v>106</v>
      </c>
      <c r="K135" s="20" t="s">
        <v>107</v>
      </c>
      <c r="L135" s="20"/>
      <c r="M135" s="20"/>
      <c r="N135" s="20" t="s">
        <v>108</v>
      </c>
    </row>
    <row r="136" spans="1:14" x14ac:dyDescent="0.25">
      <c r="B136" s="5">
        <f>'Transmitter Data'!C176</f>
        <v>0</v>
      </c>
      <c r="C136" s="21" t="e">
        <f>IF(B136&gt;80,0.00625*B136, IF(B136&lt;2, 1/B136,0.5))</f>
        <v>#DIV/0!</v>
      </c>
      <c r="I136" s="5">
        <v>147</v>
      </c>
      <c r="J136" s="5">
        <v>10</v>
      </c>
      <c r="K136" s="5">
        <v>1</v>
      </c>
      <c r="L136" s="5"/>
      <c r="M136" s="5"/>
      <c r="N136" s="21">
        <f>IF(I136&gt;80,876*((J136*K136)^0.5)/I136,IF(I136&lt;2,5.5*I136*(J136*K136)^0.5,(10.95*(J136*K136)^0.5)))</f>
        <v>18.844593403452382</v>
      </c>
    </row>
    <row r="137" spans="1:14" x14ac:dyDescent="0.25">
      <c r="C137" s="2"/>
    </row>
    <row r="138" spans="1:14" x14ac:dyDescent="0.25">
      <c r="B138" s="149" t="s">
        <v>104</v>
      </c>
      <c r="C138" s="149"/>
      <c r="D138" s="149"/>
      <c r="E138" s="149"/>
      <c r="F138" s="149"/>
      <c r="G138" s="149"/>
      <c r="I138" s="146" t="s">
        <v>109</v>
      </c>
      <c r="J138" s="147"/>
      <c r="K138" s="147"/>
      <c r="L138" s="147"/>
      <c r="M138" s="147"/>
      <c r="N138" s="148"/>
    </row>
    <row r="139" spans="1:14" ht="46.5" x14ac:dyDescent="0.35">
      <c r="B139" s="20" t="s">
        <v>10</v>
      </c>
      <c r="C139" s="20" t="s">
        <v>103</v>
      </c>
      <c r="I139" s="20" t="s">
        <v>10</v>
      </c>
      <c r="J139" s="20" t="s">
        <v>106</v>
      </c>
      <c r="K139" s="20" t="s">
        <v>107</v>
      </c>
      <c r="L139" s="20"/>
      <c r="M139" s="20"/>
      <c r="N139" s="20" t="s">
        <v>108</v>
      </c>
    </row>
    <row r="140" spans="1:14" x14ac:dyDescent="0.25">
      <c r="B140" s="5">
        <f>'Transmitter Data'!C180</f>
        <v>0</v>
      </c>
      <c r="C140" s="21" t="e">
        <f>IF(B140&gt;80,0.025*B140, IF(B140&lt;2, 4/B140,2))</f>
        <v>#DIV/0!</v>
      </c>
      <c r="I140" s="5">
        <v>147</v>
      </c>
      <c r="J140" s="5">
        <v>2</v>
      </c>
      <c r="K140" s="5">
        <v>1</v>
      </c>
      <c r="L140" s="5"/>
      <c r="M140" s="5"/>
      <c r="N140" s="21">
        <f>IF(I140&gt;80,219*((J140*K140)^0.5)/I140,IF(I140&lt;2,1.37*I140*(J140*K140)^0.5,(2.74*(J140*K140)^0.5)))</f>
        <v>2.1068895929231823</v>
      </c>
    </row>
    <row r="143" spans="1:14" x14ac:dyDescent="0.25">
      <c r="A143">
        <f>'Transmitter Data'!A185</f>
        <v>0</v>
      </c>
      <c r="B143" s="149" t="s">
        <v>102</v>
      </c>
      <c r="C143" s="149"/>
      <c r="D143" s="149"/>
      <c r="E143" s="149"/>
      <c r="F143" s="149"/>
      <c r="G143" s="149"/>
      <c r="I143" s="150" t="s">
        <v>105</v>
      </c>
      <c r="J143" s="150"/>
      <c r="K143" s="150"/>
      <c r="L143" s="150"/>
      <c r="M143" s="150"/>
      <c r="N143" s="150"/>
    </row>
    <row r="144" spans="1:14" ht="46.5" x14ac:dyDescent="0.35">
      <c r="B144" s="20" t="s">
        <v>10</v>
      </c>
      <c r="C144" s="20" t="s">
        <v>103</v>
      </c>
      <c r="I144" s="20" t="s">
        <v>10</v>
      </c>
      <c r="J144" s="20" t="s">
        <v>106</v>
      </c>
      <c r="K144" s="20" t="s">
        <v>107</v>
      </c>
      <c r="L144" s="20"/>
      <c r="M144" s="20"/>
      <c r="N144" s="20" t="s">
        <v>108</v>
      </c>
    </row>
    <row r="145" spans="1:14" x14ac:dyDescent="0.25">
      <c r="B145" s="5">
        <f>'Transmitter Data'!C185</f>
        <v>0</v>
      </c>
      <c r="C145" s="21" t="e">
        <f>IF(B145&gt;80,0.00625*B145, IF(B145&lt;2, 1/B145,0.5))</f>
        <v>#DIV/0!</v>
      </c>
      <c r="I145" s="5">
        <v>147</v>
      </c>
      <c r="J145" s="5">
        <v>10</v>
      </c>
      <c r="K145" s="5">
        <v>1</v>
      </c>
      <c r="L145" s="5"/>
      <c r="M145" s="5"/>
      <c r="N145" s="21">
        <f>IF(I145&gt;80,876*((J145*K145)^0.5)/I145,IF(I145&lt;2,5.5*I145*(J145*K145)^0.5,(10.95*(J145*K145)^0.5)))</f>
        <v>18.844593403452382</v>
      </c>
    </row>
    <row r="146" spans="1:14" x14ac:dyDescent="0.25">
      <c r="C146" s="2"/>
    </row>
    <row r="147" spans="1:14" x14ac:dyDescent="0.25">
      <c r="B147" s="149" t="s">
        <v>104</v>
      </c>
      <c r="C147" s="149"/>
      <c r="D147" s="149"/>
      <c r="E147" s="149"/>
      <c r="F147" s="149"/>
      <c r="G147" s="149"/>
      <c r="I147" s="146" t="s">
        <v>109</v>
      </c>
      <c r="J147" s="147"/>
      <c r="K147" s="147"/>
      <c r="L147" s="147"/>
      <c r="M147" s="147"/>
      <c r="N147" s="148"/>
    </row>
    <row r="148" spans="1:14" ht="46.5" x14ac:dyDescent="0.35">
      <c r="B148" s="20" t="s">
        <v>10</v>
      </c>
      <c r="C148" s="20" t="s">
        <v>103</v>
      </c>
      <c r="I148" s="20" t="s">
        <v>10</v>
      </c>
      <c r="J148" s="20" t="s">
        <v>106</v>
      </c>
      <c r="K148" s="20" t="s">
        <v>107</v>
      </c>
      <c r="L148" s="20"/>
      <c r="M148" s="20"/>
      <c r="N148" s="20" t="s">
        <v>108</v>
      </c>
    </row>
    <row r="149" spans="1:14" x14ac:dyDescent="0.25">
      <c r="B149" s="5">
        <f>'Transmitter Data'!C189</f>
        <v>0</v>
      </c>
      <c r="C149" s="21" t="e">
        <f>IF(B149&gt;80,0.025*B149, IF(B149&lt;2, 4/B149,2))</f>
        <v>#DIV/0!</v>
      </c>
      <c r="I149" s="5">
        <v>147</v>
      </c>
      <c r="J149" s="5">
        <v>2</v>
      </c>
      <c r="K149" s="5">
        <v>1</v>
      </c>
      <c r="L149" s="5"/>
      <c r="M149" s="5"/>
      <c r="N149" s="21">
        <f>IF(I149&gt;80,219*((J149*K149)^0.5)/I149,IF(I149&lt;2,1.37*I149*(J149*K149)^0.5,(2.74*(J149*K149)^0.5)))</f>
        <v>2.1068895929231823</v>
      </c>
    </row>
    <row r="151" spans="1:14" x14ac:dyDescent="0.25">
      <c r="A151">
        <f>'Transmitter Data'!A193</f>
        <v>0</v>
      </c>
      <c r="B151" s="149" t="s">
        <v>102</v>
      </c>
      <c r="C151" s="149"/>
      <c r="D151" s="149"/>
      <c r="E151" s="149"/>
      <c r="F151" s="149"/>
      <c r="G151" s="149"/>
      <c r="I151" s="150" t="s">
        <v>105</v>
      </c>
      <c r="J151" s="150"/>
      <c r="K151" s="150"/>
      <c r="L151" s="150"/>
      <c r="M151" s="150"/>
      <c r="N151" s="150"/>
    </row>
    <row r="152" spans="1:14" ht="46.5" x14ac:dyDescent="0.35">
      <c r="B152" s="20" t="s">
        <v>10</v>
      </c>
      <c r="C152" s="20" t="s">
        <v>103</v>
      </c>
      <c r="I152" s="20" t="s">
        <v>10</v>
      </c>
      <c r="J152" s="20" t="s">
        <v>106</v>
      </c>
      <c r="K152" s="20" t="s">
        <v>107</v>
      </c>
      <c r="L152" s="20"/>
      <c r="M152" s="20"/>
      <c r="N152" s="20" t="s">
        <v>108</v>
      </c>
    </row>
    <row r="153" spans="1:14" x14ac:dyDescent="0.25">
      <c r="B153" s="5">
        <f>'Transmitter Data'!C193</f>
        <v>0</v>
      </c>
      <c r="C153" s="21" t="e">
        <f>IF(B153&gt;80,0.00625*B153, IF(B153&lt;2, 1/B153,0.5))</f>
        <v>#DIV/0!</v>
      </c>
      <c r="I153" s="5">
        <v>147</v>
      </c>
      <c r="J153" s="5">
        <v>10</v>
      </c>
      <c r="K153" s="5">
        <v>1</v>
      </c>
      <c r="L153" s="5"/>
      <c r="M153" s="5"/>
      <c r="N153" s="21">
        <f>IF(I153&gt;80,876*((J153*K153)^0.5)/I153,IF(I153&lt;2,5.5*I153*(J153*K153)^0.5,(10.95*(J153*K153)^0.5)))</f>
        <v>18.844593403452382</v>
      </c>
    </row>
    <row r="154" spans="1:14" x14ac:dyDescent="0.25">
      <c r="C154" s="2"/>
    </row>
    <row r="155" spans="1:14" x14ac:dyDescent="0.25">
      <c r="B155" s="149" t="s">
        <v>104</v>
      </c>
      <c r="C155" s="149"/>
      <c r="D155" s="149"/>
      <c r="E155" s="149"/>
      <c r="F155" s="149"/>
      <c r="G155" s="149"/>
      <c r="I155" s="146" t="s">
        <v>109</v>
      </c>
      <c r="J155" s="147"/>
      <c r="K155" s="147"/>
      <c r="L155" s="147"/>
      <c r="M155" s="147"/>
      <c r="N155" s="148"/>
    </row>
    <row r="156" spans="1:14" ht="46.5" x14ac:dyDescent="0.35">
      <c r="B156" s="20" t="s">
        <v>10</v>
      </c>
      <c r="C156" s="20" t="s">
        <v>103</v>
      </c>
      <c r="I156" s="20" t="s">
        <v>10</v>
      </c>
      <c r="J156" s="20" t="s">
        <v>106</v>
      </c>
      <c r="K156" s="20" t="s">
        <v>107</v>
      </c>
      <c r="L156" s="20"/>
      <c r="M156" s="20"/>
      <c r="N156" s="20" t="s">
        <v>108</v>
      </c>
    </row>
    <row r="157" spans="1:14" x14ac:dyDescent="0.25">
      <c r="B157" s="5">
        <f>'Transmitter Data'!C197</f>
        <v>0</v>
      </c>
      <c r="C157" s="21" t="e">
        <f>IF(B157&gt;80,0.025*B157, IF(B157&lt;2, 4/B157,2))</f>
        <v>#DIV/0!</v>
      </c>
      <c r="I157" s="5">
        <v>147</v>
      </c>
      <c r="J157" s="5">
        <v>2</v>
      </c>
      <c r="K157" s="5">
        <v>1</v>
      </c>
      <c r="L157" s="5"/>
      <c r="M157" s="5"/>
      <c r="N157" s="21">
        <f>IF(I157&gt;80,219*((J157*K157)^0.5)/I157,IF(I157&lt;2,1.37*I157*(J157*K157)^0.5,(2.74*(J157*K157)^0.5)))</f>
        <v>2.1068895929231823</v>
      </c>
    </row>
    <row r="159" spans="1:14" x14ac:dyDescent="0.25">
      <c r="A159">
        <f>'Transmitter Data'!A201</f>
        <v>0</v>
      </c>
      <c r="B159" s="149" t="s">
        <v>102</v>
      </c>
      <c r="C159" s="149"/>
      <c r="D159" s="149"/>
      <c r="E159" s="149"/>
      <c r="F159" s="149"/>
      <c r="G159" s="149"/>
      <c r="I159" s="150" t="s">
        <v>105</v>
      </c>
      <c r="J159" s="150"/>
      <c r="K159" s="150"/>
      <c r="L159" s="150"/>
      <c r="M159" s="150"/>
      <c r="N159" s="150"/>
    </row>
    <row r="160" spans="1:14" ht="46.5" x14ac:dyDescent="0.35">
      <c r="B160" s="20" t="s">
        <v>10</v>
      </c>
      <c r="C160" s="20" t="s">
        <v>103</v>
      </c>
      <c r="I160" s="20" t="s">
        <v>10</v>
      </c>
      <c r="J160" s="20" t="s">
        <v>106</v>
      </c>
      <c r="K160" s="20" t="s">
        <v>107</v>
      </c>
      <c r="L160" s="20"/>
      <c r="M160" s="20"/>
      <c r="N160" s="20" t="s">
        <v>108</v>
      </c>
    </row>
    <row r="161" spans="1:14" x14ac:dyDescent="0.25">
      <c r="B161" s="5">
        <f>'Transmitter Data'!C201</f>
        <v>0</v>
      </c>
      <c r="C161" s="21" t="e">
        <f>IF(B161&gt;80,0.00625*B161, IF(B161&lt;2, 1/B161,0.5))</f>
        <v>#DIV/0!</v>
      </c>
      <c r="I161" s="5">
        <v>147</v>
      </c>
      <c r="J161" s="5">
        <v>10</v>
      </c>
      <c r="K161" s="5">
        <v>1</v>
      </c>
      <c r="L161" s="5"/>
      <c r="M161" s="5"/>
      <c r="N161" s="21">
        <f>IF(I161&gt;80,876*((J161*K161)^0.5)/I161,IF(I161&lt;2,5.5*I161*(J161*K161)^0.5,(10.95*(J161*K161)^0.5)))</f>
        <v>18.844593403452382</v>
      </c>
    </row>
    <row r="162" spans="1:14" x14ac:dyDescent="0.25">
      <c r="C162" s="2"/>
    </row>
    <row r="163" spans="1:14" x14ac:dyDescent="0.25">
      <c r="B163" s="149" t="s">
        <v>104</v>
      </c>
      <c r="C163" s="149"/>
      <c r="D163" s="149"/>
      <c r="E163" s="149"/>
      <c r="F163" s="149"/>
      <c r="G163" s="149"/>
      <c r="I163" s="146" t="s">
        <v>109</v>
      </c>
      <c r="J163" s="147"/>
      <c r="K163" s="147"/>
      <c r="L163" s="147"/>
      <c r="M163" s="147"/>
      <c r="N163" s="148"/>
    </row>
    <row r="164" spans="1:14" ht="46.5" x14ac:dyDescent="0.35">
      <c r="B164" s="20" t="s">
        <v>10</v>
      </c>
      <c r="C164" s="20" t="s">
        <v>103</v>
      </c>
      <c r="I164" s="20" t="s">
        <v>10</v>
      </c>
      <c r="J164" s="20" t="s">
        <v>106</v>
      </c>
      <c r="K164" s="20" t="s">
        <v>107</v>
      </c>
      <c r="L164" s="20"/>
      <c r="M164" s="20"/>
      <c r="N164" s="20" t="s">
        <v>108</v>
      </c>
    </row>
    <row r="165" spans="1:14" x14ac:dyDescent="0.25">
      <c r="B165" s="5">
        <f>'Transmitter Data'!C205</f>
        <v>0</v>
      </c>
      <c r="C165" s="21" t="e">
        <f>IF(B165&gt;80,0.025*B165, IF(B165&lt;2, 4/B165,2))</f>
        <v>#DIV/0!</v>
      </c>
      <c r="I165" s="5">
        <v>147</v>
      </c>
      <c r="J165" s="5">
        <v>2</v>
      </c>
      <c r="K165" s="5">
        <v>1</v>
      </c>
      <c r="L165" s="5"/>
      <c r="M165" s="5"/>
      <c r="N165" s="21">
        <f>IF(I165&gt;80,219*((J165*K165)^0.5)/I165,IF(I165&lt;2,1.37*I165*(J165*K165)^0.5,(2.74*(J165*K165)^0.5)))</f>
        <v>2.1068895929231823</v>
      </c>
    </row>
    <row r="167" spans="1:14" x14ac:dyDescent="0.25">
      <c r="A167">
        <f>'Transmitter Data'!A209</f>
        <v>0</v>
      </c>
      <c r="B167" s="149" t="s">
        <v>102</v>
      </c>
      <c r="C167" s="149"/>
      <c r="D167" s="149"/>
      <c r="E167" s="149"/>
      <c r="F167" s="149"/>
      <c r="G167" s="149"/>
      <c r="I167" s="150" t="s">
        <v>105</v>
      </c>
      <c r="J167" s="150"/>
      <c r="K167" s="150"/>
      <c r="L167" s="150"/>
      <c r="M167" s="150"/>
      <c r="N167" s="150"/>
    </row>
    <row r="168" spans="1:14" ht="46.5" x14ac:dyDescent="0.35">
      <c r="B168" s="20" t="s">
        <v>10</v>
      </c>
      <c r="C168" s="20" t="s">
        <v>103</v>
      </c>
      <c r="I168" s="20" t="s">
        <v>10</v>
      </c>
      <c r="J168" s="20" t="s">
        <v>106</v>
      </c>
      <c r="K168" s="20" t="s">
        <v>107</v>
      </c>
      <c r="L168" s="20"/>
      <c r="M168" s="20"/>
      <c r="N168" s="20" t="s">
        <v>108</v>
      </c>
    </row>
    <row r="169" spans="1:14" x14ac:dyDescent="0.25">
      <c r="B169" s="5">
        <f>'Transmitter Data'!C209</f>
        <v>0</v>
      </c>
      <c r="C169" s="21" t="e">
        <f>IF(B169&gt;80,0.00625*B169, IF(B169&lt;2, 1/B169,0.5))</f>
        <v>#DIV/0!</v>
      </c>
      <c r="I169" s="5">
        <v>147</v>
      </c>
      <c r="J169" s="5">
        <v>10</v>
      </c>
      <c r="K169" s="5">
        <v>1</v>
      </c>
      <c r="L169" s="5"/>
      <c r="M169" s="5"/>
      <c r="N169" s="21">
        <f>IF(I169&gt;80,876*((J169*K169)^0.5)/I169,IF(I169&lt;2,5.5*I169*(J169*K169)^0.5,(10.95*(J169*K169)^0.5)))</f>
        <v>18.844593403452382</v>
      </c>
    </row>
    <row r="170" spans="1:14" x14ac:dyDescent="0.25">
      <c r="C170" s="2"/>
    </row>
    <row r="171" spans="1:14" x14ac:dyDescent="0.25">
      <c r="B171" s="149" t="s">
        <v>104</v>
      </c>
      <c r="C171" s="149"/>
      <c r="D171" s="149"/>
      <c r="E171" s="149"/>
      <c r="F171" s="149"/>
      <c r="G171" s="149"/>
      <c r="I171" s="146" t="s">
        <v>109</v>
      </c>
      <c r="J171" s="147"/>
      <c r="K171" s="147"/>
      <c r="L171" s="147"/>
      <c r="M171" s="147"/>
      <c r="N171" s="148"/>
    </row>
    <row r="172" spans="1:14" ht="46.5" x14ac:dyDescent="0.35">
      <c r="B172" s="20" t="s">
        <v>10</v>
      </c>
      <c r="C172" s="20" t="s">
        <v>103</v>
      </c>
      <c r="I172" s="20" t="s">
        <v>10</v>
      </c>
      <c r="J172" s="20" t="s">
        <v>106</v>
      </c>
      <c r="K172" s="20" t="s">
        <v>107</v>
      </c>
      <c r="L172" s="20"/>
      <c r="M172" s="20"/>
      <c r="N172" s="20" t="s">
        <v>108</v>
      </c>
    </row>
    <row r="173" spans="1:14" x14ac:dyDescent="0.25">
      <c r="B173" s="5">
        <f>'Transmitter Data'!C213</f>
        <v>0</v>
      </c>
      <c r="C173" s="21" t="e">
        <f>IF(B173&gt;80,0.025*B173, IF(B173&lt;2, 4/B173,2))</f>
        <v>#DIV/0!</v>
      </c>
      <c r="I173" s="5">
        <v>147</v>
      </c>
      <c r="J173" s="5">
        <v>2</v>
      </c>
      <c r="K173" s="5">
        <v>1</v>
      </c>
      <c r="L173" s="5"/>
      <c r="M173" s="5"/>
      <c r="N173" s="21">
        <f>IF(I173&gt;80,219*((J173*K173)^0.5)/I173,IF(I173&lt;2,1.37*I173*(J173*K173)^0.5,(2.74*(J173*K173)^0.5)))</f>
        <v>2.1068895929231823</v>
      </c>
    </row>
    <row r="176" spans="1:14" x14ac:dyDescent="0.25">
      <c r="A176">
        <f>'Transmitter Data'!A218</f>
        <v>0</v>
      </c>
      <c r="B176" s="149" t="s">
        <v>102</v>
      </c>
      <c r="C176" s="149"/>
      <c r="D176" s="149"/>
      <c r="E176" s="149"/>
      <c r="F176" s="149"/>
      <c r="G176" s="149"/>
      <c r="I176" s="150" t="s">
        <v>105</v>
      </c>
      <c r="J176" s="150"/>
      <c r="K176" s="150"/>
      <c r="L176" s="150"/>
      <c r="M176" s="150"/>
      <c r="N176" s="150"/>
    </row>
    <row r="177" spans="1:14" ht="46.5" x14ac:dyDescent="0.35">
      <c r="B177" s="20" t="s">
        <v>10</v>
      </c>
      <c r="C177" s="20" t="s">
        <v>103</v>
      </c>
      <c r="I177" s="20" t="s">
        <v>10</v>
      </c>
      <c r="J177" s="20" t="s">
        <v>106</v>
      </c>
      <c r="K177" s="20" t="s">
        <v>107</v>
      </c>
      <c r="L177" s="20"/>
      <c r="M177" s="20"/>
      <c r="N177" s="20" t="s">
        <v>108</v>
      </c>
    </row>
    <row r="178" spans="1:14" x14ac:dyDescent="0.25">
      <c r="B178" s="5">
        <f>'Transmitter Data'!C218</f>
        <v>0</v>
      </c>
      <c r="C178" s="21" t="e">
        <f>IF(B178&gt;80,0.00625*B178, IF(B178&lt;2, 1/B178,0.5))</f>
        <v>#DIV/0!</v>
      </c>
      <c r="I178" s="5">
        <v>147</v>
      </c>
      <c r="J178" s="5">
        <v>10</v>
      </c>
      <c r="K178" s="5">
        <v>1</v>
      </c>
      <c r="L178" s="5"/>
      <c r="M178" s="5"/>
      <c r="N178" s="21">
        <f>IF(I178&gt;80,876*((J178*K178)^0.5)/I178,IF(I178&lt;2,5.5*I178*(J178*K178)^0.5,(10.95*(J178*K178)^0.5)))</f>
        <v>18.844593403452382</v>
      </c>
    </row>
    <row r="179" spans="1:14" x14ac:dyDescent="0.25">
      <c r="C179" s="2"/>
    </row>
    <row r="180" spans="1:14" x14ac:dyDescent="0.25">
      <c r="B180" s="149" t="s">
        <v>104</v>
      </c>
      <c r="C180" s="149"/>
      <c r="D180" s="149"/>
      <c r="E180" s="149"/>
      <c r="F180" s="149"/>
      <c r="G180" s="149"/>
      <c r="I180" s="146" t="s">
        <v>109</v>
      </c>
      <c r="J180" s="147"/>
      <c r="K180" s="147"/>
      <c r="L180" s="147"/>
      <c r="M180" s="147"/>
      <c r="N180" s="148"/>
    </row>
    <row r="181" spans="1:14" ht="46.5" x14ac:dyDescent="0.35">
      <c r="B181" s="20" t="s">
        <v>10</v>
      </c>
      <c r="C181" s="20" t="s">
        <v>103</v>
      </c>
      <c r="I181" s="20" t="s">
        <v>10</v>
      </c>
      <c r="J181" s="20" t="s">
        <v>106</v>
      </c>
      <c r="K181" s="20" t="s">
        <v>107</v>
      </c>
      <c r="L181" s="20"/>
      <c r="M181" s="20"/>
      <c r="N181" s="20" t="s">
        <v>108</v>
      </c>
    </row>
    <row r="182" spans="1:14" x14ac:dyDescent="0.25">
      <c r="B182" s="5">
        <f>'Transmitter Data'!C222</f>
        <v>0</v>
      </c>
      <c r="C182" s="21" t="e">
        <f>IF(B182&gt;80,0.025*B182, IF(B182&lt;2, 4/B182,2))</f>
        <v>#DIV/0!</v>
      </c>
      <c r="I182" s="5">
        <v>147</v>
      </c>
      <c r="J182" s="5">
        <v>2</v>
      </c>
      <c r="K182" s="5">
        <v>1</v>
      </c>
      <c r="L182" s="5"/>
      <c r="M182" s="5"/>
      <c r="N182" s="21">
        <f>IF(I182&gt;80,219*((J182*K182)^0.5)/I182,IF(I182&lt;2,1.37*I182*(J182*K182)^0.5,(2.74*(J182*K182)^0.5)))</f>
        <v>2.1068895929231823</v>
      </c>
    </row>
    <row r="185" spans="1:14" x14ac:dyDescent="0.25">
      <c r="A185">
        <f>'Transmitter Data'!A227</f>
        <v>0</v>
      </c>
      <c r="B185" s="149" t="s">
        <v>102</v>
      </c>
      <c r="C185" s="149"/>
      <c r="D185" s="149"/>
      <c r="E185" s="149"/>
      <c r="F185" s="149"/>
      <c r="G185" s="149"/>
      <c r="I185" s="150" t="s">
        <v>105</v>
      </c>
      <c r="J185" s="150"/>
      <c r="K185" s="150"/>
      <c r="L185" s="150"/>
      <c r="M185" s="150"/>
      <c r="N185" s="150"/>
    </row>
    <row r="186" spans="1:14" ht="46.5" x14ac:dyDescent="0.35">
      <c r="B186" s="20" t="s">
        <v>10</v>
      </c>
      <c r="C186" s="20" t="s">
        <v>103</v>
      </c>
      <c r="I186" s="20" t="s">
        <v>10</v>
      </c>
      <c r="J186" s="20" t="s">
        <v>106</v>
      </c>
      <c r="K186" s="20" t="s">
        <v>107</v>
      </c>
      <c r="L186" s="20"/>
      <c r="M186" s="20"/>
      <c r="N186" s="20" t="s">
        <v>108</v>
      </c>
    </row>
    <row r="187" spans="1:14" x14ac:dyDescent="0.25">
      <c r="B187" s="5">
        <f>'Transmitter Data'!C227</f>
        <v>0</v>
      </c>
      <c r="C187" s="21" t="e">
        <f>IF(B187&gt;80,0.00625*B187, IF(B187&lt;2, 1/B187,0.5))</f>
        <v>#DIV/0!</v>
      </c>
      <c r="I187" s="5">
        <v>147</v>
      </c>
      <c r="J187" s="5">
        <v>10</v>
      </c>
      <c r="K187" s="5">
        <v>1</v>
      </c>
      <c r="L187" s="5"/>
      <c r="M187" s="5"/>
      <c r="N187" s="21">
        <f>IF(I187&gt;80,876*((J187*K187)^0.5)/I187,IF(I187&lt;2,5.5*I187*(J187*K187)^0.5,(10.95*(J187*K187)^0.5)))</f>
        <v>18.844593403452382</v>
      </c>
    </row>
    <row r="188" spans="1:14" x14ac:dyDescent="0.25">
      <c r="C188" s="2"/>
    </row>
    <row r="189" spans="1:14" x14ac:dyDescent="0.25">
      <c r="B189" s="149" t="s">
        <v>104</v>
      </c>
      <c r="C189" s="149"/>
      <c r="D189" s="149"/>
      <c r="E189" s="149"/>
      <c r="F189" s="149"/>
      <c r="G189" s="149"/>
      <c r="I189" s="146" t="s">
        <v>109</v>
      </c>
      <c r="J189" s="147"/>
      <c r="K189" s="147"/>
      <c r="L189" s="147"/>
      <c r="M189" s="147"/>
      <c r="N189" s="148"/>
    </row>
    <row r="190" spans="1:14" ht="46.5" x14ac:dyDescent="0.35">
      <c r="B190" s="20" t="s">
        <v>10</v>
      </c>
      <c r="C190" s="20" t="s">
        <v>103</v>
      </c>
      <c r="I190" s="20" t="s">
        <v>10</v>
      </c>
      <c r="J190" s="20" t="s">
        <v>106</v>
      </c>
      <c r="K190" s="20" t="s">
        <v>107</v>
      </c>
      <c r="L190" s="20"/>
      <c r="M190" s="20"/>
      <c r="N190" s="20" t="s">
        <v>108</v>
      </c>
    </row>
    <row r="191" spans="1:14" x14ac:dyDescent="0.25">
      <c r="B191" s="5">
        <f>'Transmitter Data'!C231</f>
        <v>0</v>
      </c>
      <c r="C191" s="21" t="e">
        <f>IF(B191&gt;80,0.025*B191, IF(B191&lt;2, 4/B191,2))</f>
        <v>#DIV/0!</v>
      </c>
      <c r="I191" s="5">
        <v>147</v>
      </c>
      <c r="J191" s="5">
        <v>2</v>
      </c>
      <c r="K191" s="5">
        <v>1</v>
      </c>
      <c r="L191" s="5"/>
      <c r="M191" s="5"/>
      <c r="N191" s="21">
        <f>IF(I191&gt;80,219*((J191*K191)^0.5)/I191,IF(I191&lt;2,1.37*I191*(J191*K191)^0.5,(2.74*(J191*K191)^0.5)))</f>
        <v>2.1068895929231823</v>
      </c>
    </row>
    <row r="194" spans="1:14" x14ac:dyDescent="0.25">
      <c r="A194">
        <f>'Transmitter Data'!A236</f>
        <v>0</v>
      </c>
      <c r="B194" s="149" t="s">
        <v>102</v>
      </c>
      <c r="C194" s="149"/>
      <c r="D194" s="149"/>
      <c r="E194" s="149"/>
      <c r="F194" s="149"/>
      <c r="G194" s="149"/>
      <c r="I194" s="150" t="s">
        <v>105</v>
      </c>
      <c r="J194" s="150"/>
      <c r="K194" s="150"/>
      <c r="L194" s="150"/>
      <c r="M194" s="150"/>
      <c r="N194" s="150"/>
    </row>
    <row r="195" spans="1:14" ht="46.5" x14ac:dyDescent="0.35">
      <c r="B195" s="20" t="s">
        <v>10</v>
      </c>
      <c r="C195" s="20" t="s">
        <v>103</v>
      </c>
      <c r="I195" s="20" t="s">
        <v>10</v>
      </c>
      <c r="J195" s="20" t="s">
        <v>106</v>
      </c>
      <c r="K195" s="20" t="s">
        <v>107</v>
      </c>
      <c r="L195" s="20"/>
      <c r="M195" s="20"/>
      <c r="N195" s="20" t="s">
        <v>108</v>
      </c>
    </row>
    <row r="196" spans="1:14" x14ac:dyDescent="0.25">
      <c r="B196" s="5">
        <f>'Transmitter Data'!C236</f>
        <v>0</v>
      </c>
      <c r="C196" s="21" t="e">
        <f>IF(B196&gt;80,0.00625*B196, IF(B196&lt;2, 1/B196,0.5))</f>
        <v>#DIV/0!</v>
      </c>
      <c r="I196" s="5">
        <v>147</v>
      </c>
      <c r="J196" s="5">
        <v>10</v>
      </c>
      <c r="K196" s="5">
        <v>1</v>
      </c>
      <c r="L196" s="5"/>
      <c r="M196" s="5"/>
      <c r="N196" s="21">
        <f>IF(I196&gt;80,876*((J196*K196)^0.5)/I196,IF(I196&lt;2,5.5*I196*(J196*K196)^0.5,(10.95*(J196*K196)^0.5)))</f>
        <v>18.844593403452382</v>
      </c>
    </row>
    <row r="197" spans="1:14" x14ac:dyDescent="0.25">
      <c r="C197" s="2"/>
    </row>
    <row r="198" spans="1:14" x14ac:dyDescent="0.25">
      <c r="B198" s="149" t="s">
        <v>104</v>
      </c>
      <c r="C198" s="149"/>
      <c r="D198" s="149"/>
      <c r="E198" s="149"/>
      <c r="F198" s="149"/>
      <c r="G198" s="149"/>
      <c r="I198" s="146" t="s">
        <v>109</v>
      </c>
      <c r="J198" s="147"/>
      <c r="K198" s="147"/>
      <c r="L198" s="147"/>
      <c r="M198" s="147"/>
      <c r="N198" s="148"/>
    </row>
    <row r="199" spans="1:14" ht="46.5" x14ac:dyDescent="0.35">
      <c r="B199" s="20" t="s">
        <v>10</v>
      </c>
      <c r="C199" s="20" t="s">
        <v>103</v>
      </c>
      <c r="I199" s="20" t="s">
        <v>10</v>
      </c>
      <c r="J199" s="20" t="s">
        <v>106</v>
      </c>
      <c r="K199" s="20" t="s">
        <v>107</v>
      </c>
      <c r="L199" s="20"/>
      <c r="M199" s="20"/>
      <c r="N199" s="20" t="s">
        <v>108</v>
      </c>
    </row>
    <row r="200" spans="1:14" x14ac:dyDescent="0.25">
      <c r="B200" s="5">
        <f>'Transmitter Data'!C240</f>
        <v>0</v>
      </c>
      <c r="C200" s="21" t="e">
        <f>IF(B200&gt;80,0.025*B200, IF(B200&lt;2, 4/B200,2))</f>
        <v>#DIV/0!</v>
      </c>
      <c r="I200" s="5">
        <v>147</v>
      </c>
      <c r="J200" s="5">
        <v>2</v>
      </c>
      <c r="K200" s="5">
        <v>1</v>
      </c>
      <c r="L200" s="5"/>
      <c r="M200" s="5"/>
      <c r="N200" s="21">
        <f>IF(I200&gt;80,219*((J200*K200)^0.5)/I200,IF(I200&lt;2,1.37*I200*(J200*K200)^0.5,(2.74*(J200*K200)^0.5)))</f>
        <v>2.1068895929231823</v>
      </c>
    </row>
    <row r="203" spans="1:14" x14ac:dyDescent="0.25">
      <c r="A203">
        <f>'Transmitter Data'!A245</f>
        <v>0</v>
      </c>
      <c r="B203" s="149" t="s">
        <v>102</v>
      </c>
      <c r="C203" s="149"/>
      <c r="D203" s="149"/>
      <c r="E203" s="149"/>
      <c r="F203" s="149"/>
      <c r="G203" s="149"/>
      <c r="I203" s="150" t="s">
        <v>105</v>
      </c>
      <c r="J203" s="150"/>
      <c r="K203" s="150"/>
      <c r="L203" s="150"/>
      <c r="M203" s="150"/>
      <c r="N203" s="150"/>
    </row>
    <row r="204" spans="1:14" ht="46.5" x14ac:dyDescent="0.35">
      <c r="B204" s="20" t="s">
        <v>10</v>
      </c>
      <c r="C204" s="20" t="s">
        <v>103</v>
      </c>
      <c r="I204" s="20" t="s">
        <v>10</v>
      </c>
      <c r="J204" s="20" t="s">
        <v>106</v>
      </c>
      <c r="K204" s="20" t="s">
        <v>107</v>
      </c>
      <c r="L204" s="20"/>
      <c r="M204" s="20"/>
      <c r="N204" s="20" t="s">
        <v>108</v>
      </c>
    </row>
    <row r="205" spans="1:14" x14ac:dyDescent="0.25">
      <c r="B205" s="5">
        <f>'Transmitter Data'!C245</f>
        <v>0</v>
      </c>
      <c r="C205" s="21" t="e">
        <f>IF(B205&gt;80,0.00625*B205, IF(B205&lt;2, 1/B205,0.5))</f>
        <v>#DIV/0!</v>
      </c>
      <c r="I205" s="5">
        <v>147</v>
      </c>
      <c r="J205" s="5">
        <v>10</v>
      </c>
      <c r="K205" s="5">
        <v>1</v>
      </c>
      <c r="L205" s="5"/>
      <c r="M205" s="5"/>
      <c r="N205" s="21">
        <f>IF(I205&gt;80,876*((J205*K205)^0.5)/I205,IF(I205&lt;2,5.5*I205*(J205*K205)^0.5,(10.95*(J205*K205)^0.5)))</f>
        <v>18.844593403452382</v>
      </c>
    </row>
    <row r="206" spans="1:14" x14ac:dyDescent="0.25">
      <c r="C206" s="2"/>
    </row>
    <row r="207" spans="1:14" x14ac:dyDescent="0.25">
      <c r="B207" s="149" t="s">
        <v>104</v>
      </c>
      <c r="C207" s="149"/>
      <c r="D207" s="149"/>
      <c r="E207" s="149"/>
      <c r="F207" s="149"/>
      <c r="G207" s="149"/>
      <c r="I207" s="146" t="s">
        <v>109</v>
      </c>
      <c r="J207" s="147"/>
      <c r="K207" s="147"/>
      <c r="L207" s="147"/>
      <c r="M207" s="147"/>
      <c r="N207" s="148"/>
    </row>
    <row r="208" spans="1:14" ht="46.5" x14ac:dyDescent="0.35">
      <c r="B208" s="20" t="s">
        <v>10</v>
      </c>
      <c r="C208" s="20" t="s">
        <v>103</v>
      </c>
      <c r="I208" s="20" t="s">
        <v>10</v>
      </c>
      <c r="J208" s="20" t="s">
        <v>106</v>
      </c>
      <c r="K208" s="20" t="s">
        <v>107</v>
      </c>
      <c r="L208" s="20"/>
      <c r="M208" s="20"/>
      <c r="N208" s="20" t="s">
        <v>108</v>
      </c>
    </row>
    <row r="209" spans="1:14" x14ac:dyDescent="0.25">
      <c r="B209" s="5">
        <f>'Transmitter Data'!C249</f>
        <v>0</v>
      </c>
      <c r="C209" s="21" t="e">
        <f>IF(B209&gt;80,0.025*B209, IF(B209&lt;2, 4/B209,2))</f>
        <v>#DIV/0!</v>
      </c>
      <c r="I209" s="5">
        <v>147</v>
      </c>
      <c r="J209" s="5">
        <v>2</v>
      </c>
      <c r="K209" s="5">
        <v>1</v>
      </c>
      <c r="L209" s="5"/>
      <c r="M209" s="5"/>
      <c r="N209" s="21">
        <f>IF(I209&gt;80,219*((J209*K209)^0.5)/I209,IF(I209&lt;2,1.37*I209*(J209*K209)^0.5,(2.74*(J209*K209)^0.5)))</f>
        <v>2.1068895929231823</v>
      </c>
    </row>
    <row r="212" spans="1:14" x14ac:dyDescent="0.25">
      <c r="A212">
        <f>'Transmitter Data'!A254</f>
        <v>0</v>
      </c>
      <c r="B212" s="149" t="s">
        <v>102</v>
      </c>
      <c r="C212" s="149"/>
      <c r="D212" s="149"/>
      <c r="E212" s="149"/>
      <c r="F212" s="149"/>
      <c r="G212" s="149"/>
      <c r="I212" s="150" t="s">
        <v>105</v>
      </c>
      <c r="J212" s="150"/>
      <c r="K212" s="150"/>
      <c r="L212" s="150"/>
      <c r="M212" s="150"/>
      <c r="N212" s="150"/>
    </row>
    <row r="213" spans="1:14" ht="46.5" x14ac:dyDescent="0.35">
      <c r="B213" s="20" t="s">
        <v>10</v>
      </c>
      <c r="C213" s="20" t="s">
        <v>103</v>
      </c>
      <c r="I213" s="20" t="s">
        <v>10</v>
      </c>
      <c r="J213" s="20" t="s">
        <v>106</v>
      </c>
      <c r="K213" s="20" t="s">
        <v>107</v>
      </c>
      <c r="L213" s="20"/>
      <c r="M213" s="20"/>
      <c r="N213" s="20" t="s">
        <v>108</v>
      </c>
    </row>
    <row r="214" spans="1:14" x14ac:dyDescent="0.25">
      <c r="B214" s="5">
        <f>'Transmitter Data'!C254</f>
        <v>0</v>
      </c>
      <c r="C214" s="21" t="e">
        <f>IF(B214&gt;80,0.00625*B214, IF(B214&lt;2, 1/B214,0.5))</f>
        <v>#DIV/0!</v>
      </c>
      <c r="I214" s="5">
        <v>147</v>
      </c>
      <c r="J214" s="5">
        <v>10</v>
      </c>
      <c r="K214" s="5">
        <v>1</v>
      </c>
      <c r="L214" s="5"/>
      <c r="M214" s="5"/>
      <c r="N214" s="21">
        <f>IF(I214&gt;80,876*((J214*K214)^0.5)/I214,IF(I214&lt;2,5.5*I214*(J214*K214)^0.5,(10.95*(J214*K214)^0.5)))</f>
        <v>18.844593403452382</v>
      </c>
    </row>
    <row r="215" spans="1:14" x14ac:dyDescent="0.25">
      <c r="C215" s="2"/>
    </row>
    <row r="216" spans="1:14" x14ac:dyDescent="0.25">
      <c r="B216" s="149" t="s">
        <v>104</v>
      </c>
      <c r="C216" s="149"/>
      <c r="D216" s="149"/>
      <c r="E216" s="149"/>
      <c r="F216" s="149"/>
      <c r="G216" s="149"/>
      <c r="I216" s="146" t="s">
        <v>109</v>
      </c>
      <c r="J216" s="147"/>
      <c r="K216" s="147"/>
      <c r="L216" s="147"/>
      <c r="M216" s="147"/>
      <c r="N216" s="148"/>
    </row>
    <row r="217" spans="1:14" ht="46.5" x14ac:dyDescent="0.35">
      <c r="B217" s="20" t="s">
        <v>10</v>
      </c>
      <c r="C217" s="20" t="s">
        <v>103</v>
      </c>
      <c r="I217" s="20" t="s">
        <v>10</v>
      </c>
      <c r="J217" s="20" t="s">
        <v>106</v>
      </c>
      <c r="K217" s="20" t="s">
        <v>107</v>
      </c>
      <c r="L217" s="20"/>
      <c r="M217" s="20"/>
      <c r="N217" s="20" t="s">
        <v>108</v>
      </c>
    </row>
    <row r="218" spans="1:14" x14ac:dyDescent="0.25">
      <c r="B218" s="5">
        <f>'Transmitter Data'!C258</f>
        <v>0</v>
      </c>
      <c r="C218" s="21" t="e">
        <f>IF(B218&gt;80,0.025*B218, IF(B218&lt;2, 4/B218,2))</f>
        <v>#DIV/0!</v>
      </c>
      <c r="I218" s="5">
        <v>147</v>
      </c>
      <c r="J218" s="5">
        <v>2</v>
      </c>
      <c r="K218" s="5">
        <v>1</v>
      </c>
      <c r="L218" s="5"/>
      <c r="M218" s="5"/>
      <c r="N218" s="21">
        <f>IF(I218&gt;80,219*((J218*K218)^0.5)/I218,IF(I218&lt;2,1.37*I218*(J218*K218)^0.5,(2.74*(J218*K218)^0.5)))</f>
        <v>2.1068895929231823</v>
      </c>
    </row>
    <row r="221" spans="1:14" x14ac:dyDescent="0.25">
      <c r="A221">
        <f>'Transmitter Data'!A263</f>
        <v>0</v>
      </c>
      <c r="B221" s="149" t="s">
        <v>102</v>
      </c>
      <c r="C221" s="149"/>
      <c r="D221" s="149"/>
      <c r="E221" s="149"/>
      <c r="F221" s="149"/>
      <c r="G221" s="149"/>
      <c r="I221" s="150" t="s">
        <v>105</v>
      </c>
      <c r="J221" s="150"/>
      <c r="K221" s="150"/>
      <c r="L221" s="150"/>
      <c r="M221" s="150"/>
      <c r="N221" s="150"/>
    </row>
    <row r="222" spans="1:14" ht="46.5" x14ac:dyDescent="0.35">
      <c r="B222" s="20" t="s">
        <v>10</v>
      </c>
      <c r="C222" s="20" t="s">
        <v>103</v>
      </c>
      <c r="I222" s="20" t="s">
        <v>10</v>
      </c>
      <c r="J222" s="20" t="s">
        <v>106</v>
      </c>
      <c r="K222" s="20" t="s">
        <v>107</v>
      </c>
      <c r="L222" s="20"/>
      <c r="M222" s="20"/>
      <c r="N222" s="20" t="s">
        <v>108</v>
      </c>
    </row>
    <row r="223" spans="1:14" x14ac:dyDescent="0.25">
      <c r="B223" s="5">
        <f>'Transmitter Data'!C263</f>
        <v>0</v>
      </c>
      <c r="C223" s="21" t="e">
        <f>IF(B223&gt;80,0.00625*B223, IF(B223&lt;2, 1/B223,0.5))</f>
        <v>#DIV/0!</v>
      </c>
      <c r="I223" s="5">
        <v>147</v>
      </c>
      <c r="J223" s="5">
        <v>10</v>
      </c>
      <c r="K223" s="5">
        <v>1</v>
      </c>
      <c r="L223" s="5"/>
      <c r="M223" s="5"/>
      <c r="N223" s="21">
        <f>IF(I223&gt;80,876*((J223*K223)^0.5)/I223,IF(I223&lt;2,5.5*I223*(J223*K223)^0.5,(10.95*(J223*K223)^0.5)))</f>
        <v>18.844593403452382</v>
      </c>
    </row>
    <row r="224" spans="1:14" x14ac:dyDescent="0.25">
      <c r="C224" s="2"/>
    </row>
    <row r="225" spans="1:14" x14ac:dyDescent="0.25">
      <c r="B225" s="149" t="s">
        <v>104</v>
      </c>
      <c r="C225" s="149"/>
      <c r="D225" s="149"/>
      <c r="E225" s="149"/>
      <c r="F225" s="149"/>
      <c r="G225" s="149"/>
      <c r="I225" s="146" t="s">
        <v>109</v>
      </c>
      <c r="J225" s="147"/>
      <c r="K225" s="147"/>
      <c r="L225" s="147"/>
      <c r="M225" s="147"/>
      <c r="N225" s="148"/>
    </row>
    <row r="226" spans="1:14" ht="46.5" x14ac:dyDescent="0.35">
      <c r="B226" s="20" t="s">
        <v>10</v>
      </c>
      <c r="C226" s="20" t="s">
        <v>103</v>
      </c>
      <c r="I226" s="20" t="s">
        <v>10</v>
      </c>
      <c r="J226" s="20" t="s">
        <v>106</v>
      </c>
      <c r="K226" s="20" t="s">
        <v>107</v>
      </c>
      <c r="L226" s="20"/>
      <c r="M226" s="20"/>
      <c r="N226" s="20" t="s">
        <v>108</v>
      </c>
    </row>
    <row r="227" spans="1:14" x14ac:dyDescent="0.25">
      <c r="B227" s="5">
        <f>'Transmitter Data'!C267</f>
        <v>0</v>
      </c>
      <c r="C227" s="21" t="e">
        <f>IF(B227&gt;80,0.025*B227, IF(B227&lt;2, 4/B227,2))</f>
        <v>#DIV/0!</v>
      </c>
      <c r="I227" s="5">
        <v>147</v>
      </c>
      <c r="J227" s="5">
        <v>2</v>
      </c>
      <c r="K227" s="5">
        <v>1</v>
      </c>
      <c r="L227" s="5"/>
      <c r="M227" s="5"/>
      <c r="N227" s="21">
        <f>IF(I227&gt;80,219*((J227*K227)^0.5)/I227,IF(I227&lt;2,1.37*I227*(J227*K227)^0.5,(2.74*(J227*K227)^0.5)))</f>
        <v>2.1068895929231823</v>
      </c>
    </row>
    <row r="230" spans="1:14" x14ac:dyDescent="0.25">
      <c r="A230">
        <f>'Transmitter Data'!A272</f>
        <v>0</v>
      </c>
      <c r="B230" s="149" t="s">
        <v>102</v>
      </c>
      <c r="C230" s="149"/>
      <c r="D230" s="149"/>
      <c r="E230" s="149"/>
      <c r="F230" s="149"/>
      <c r="G230" s="149"/>
      <c r="I230" s="150" t="s">
        <v>105</v>
      </c>
      <c r="J230" s="150"/>
      <c r="K230" s="150"/>
      <c r="L230" s="150"/>
      <c r="M230" s="150"/>
      <c r="N230" s="150"/>
    </row>
    <row r="231" spans="1:14" ht="46.5" x14ac:dyDescent="0.35">
      <c r="B231" s="20" t="s">
        <v>10</v>
      </c>
      <c r="C231" s="20" t="s">
        <v>103</v>
      </c>
      <c r="I231" s="20" t="s">
        <v>10</v>
      </c>
      <c r="J231" s="20" t="s">
        <v>106</v>
      </c>
      <c r="K231" s="20" t="s">
        <v>107</v>
      </c>
      <c r="L231" s="20"/>
      <c r="M231" s="20"/>
      <c r="N231" s="20" t="s">
        <v>108</v>
      </c>
    </row>
    <row r="232" spans="1:14" x14ac:dyDescent="0.25">
      <c r="B232" s="5">
        <f>'Transmitter Data'!C272</f>
        <v>0</v>
      </c>
      <c r="C232" s="21" t="e">
        <f>IF(B232&gt;80,0.00625*B232, IF(B232&lt;2, 1/B232,0.5))</f>
        <v>#DIV/0!</v>
      </c>
      <c r="I232" s="5">
        <v>147</v>
      </c>
      <c r="J232" s="5">
        <v>10</v>
      </c>
      <c r="K232" s="5">
        <v>1</v>
      </c>
      <c r="L232" s="5"/>
      <c r="M232" s="5"/>
      <c r="N232" s="21">
        <f>IF(I232&gt;80,876*((J232*K232)^0.5)/I232,IF(I232&lt;2,5.5*I232*(J232*K232)^0.5,(10.95*(J232*K232)^0.5)))</f>
        <v>18.844593403452382</v>
      </c>
    </row>
    <row r="233" spans="1:14" x14ac:dyDescent="0.25">
      <c r="C233" s="2"/>
    </row>
    <row r="234" spans="1:14" x14ac:dyDescent="0.25">
      <c r="B234" s="149" t="s">
        <v>104</v>
      </c>
      <c r="C234" s="149"/>
      <c r="D234" s="149"/>
      <c r="E234" s="149"/>
      <c r="F234" s="149"/>
      <c r="G234" s="149"/>
      <c r="I234" s="146" t="s">
        <v>109</v>
      </c>
      <c r="J234" s="147"/>
      <c r="K234" s="147"/>
      <c r="L234" s="147"/>
      <c r="M234" s="147"/>
      <c r="N234" s="148"/>
    </row>
    <row r="235" spans="1:14" ht="46.5" x14ac:dyDescent="0.35">
      <c r="B235" s="20" t="s">
        <v>10</v>
      </c>
      <c r="C235" s="20" t="s">
        <v>103</v>
      </c>
      <c r="I235" s="20" t="s">
        <v>10</v>
      </c>
      <c r="J235" s="20" t="s">
        <v>106</v>
      </c>
      <c r="K235" s="20" t="s">
        <v>107</v>
      </c>
      <c r="L235" s="20"/>
      <c r="M235" s="20"/>
      <c r="N235" s="20" t="s">
        <v>108</v>
      </c>
    </row>
    <row r="236" spans="1:14" x14ac:dyDescent="0.25">
      <c r="B236" s="5">
        <f>'Transmitter Data'!C276</f>
        <v>0</v>
      </c>
      <c r="C236" s="21" t="e">
        <f>IF(B236&gt;80,0.025*B236, IF(B236&lt;2, 4/B236,2))</f>
        <v>#DIV/0!</v>
      </c>
      <c r="I236" s="5">
        <v>147</v>
      </c>
      <c r="J236" s="5">
        <v>2</v>
      </c>
      <c r="K236" s="5">
        <v>1</v>
      </c>
      <c r="L236" s="5"/>
      <c r="M236" s="5"/>
      <c r="N236" s="21">
        <f>IF(I236&gt;80,219*((J236*K236)^0.5)/I236,IF(I236&lt;2,1.37*I236*(J236*K236)^0.5,(2.74*(J236*K236)^0.5)))</f>
        <v>2.1068895929231823</v>
      </c>
    </row>
    <row r="239" spans="1:14" x14ac:dyDescent="0.25">
      <c r="A239">
        <f>'Transmitter Data'!A281</f>
        <v>0</v>
      </c>
      <c r="B239" s="149" t="s">
        <v>102</v>
      </c>
      <c r="C239" s="149"/>
      <c r="D239" s="149"/>
      <c r="E239" s="149"/>
      <c r="F239" s="149"/>
      <c r="G239" s="149"/>
      <c r="I239" s="150" t="s">
        <v>105</v>
      </c>
      <c r="J239" s="150"/>
      <c r="K239" s="150"/>
      <c r="L239" s="150"/>
      <c r="M239" s="150"/>
      <c r="N239" s="150"/>
    </row>
    <row r="240" spans="1:14" ht="46.5" x14ac:dyDescent="0.35">
      <c r="B240" s="20" t="s">
        <v>10</v>
      </c>
      <c r="C240" s="20" t="s">
        <v>103</v>
      </c>
      <c r="I240" s="20" t="s">
        <v>10</v>
      </c>
      <c r="J240" s="20" t="s">
        <v>106</v>
      </c>
      <c r="K240" s="20" t="s">
        <v>107</v>
      </c>
      <c r="L240" s="20"/>
      <c r="M240" s="20"/>
      <c r="N240" s="20" t="s">
        <v>108</v>
      </c>
    </row>
    <row r="241" spans="1:14" x14ac:dyDescent="0.25">
      <c r="B241" s="5">
        <f>'Transmitter Data'!C281</f>
        <v>0</v>
      </c>
      <c r="C241" s="21" t="e">
        <f>IF(B241&gt;80,0.00625*B241, IF(B241&lt;2, 1/B241,0.5))</f>
        <v>#DIV/0!</v>
      </c>
      <c r="I241" s="5">
        <v>147</v>
      </c>
      <c r="J241" s="5">
        <v>10</v>
      </c>
      <c r="K241" s="5">
        <v>1</v>
      </c>
      <c r="L241" s="5"/>
      <c r="M241" s="5"/>
      <c r="N241" s="21">
        <f>IF(I241&gt;80,876*((J241*K241)^0.5)/I241,IF(I241&lt;2,5.5*I241*(J241*K241)^0.5,(10.95*(J241*K241)^0.5)))</f>
        <v>18.844593403452382</v>
      </c>
    </row>
    <row r="242" spans="1:14" x14ac:dyDescent="0.25">
      <c r="C242" s="2"/>
    </row>
    <row r="243" spans="1:14" x14ac:dyDescent="0.25">
      <c r="B243" s="149" t="s">
        <v>104</v>
      </c>
      <c r="C243" s="149"/>
      <c r="D243" s="149"/>
      <c r="E243" s="149"/>
      <c r="F243" s="149"/>
      <c r="G243" s="149"/>
      <c r="I243" s="146" t="s">
        <v>109</v>
      </c>
      <c r="J243" s="147"/>
      <c r="K243" s="147"/>
      <c r="L243" s="147"/>
      <c r="M243" s="147"/>
      <c r="N243" s="148"/>
    </row>
    <row r="244" spans="1:14" ht="46.5" x14ac:dyDescent="0.35">
      <c r="B244" s="20" t="s">
        <v>10</v>
      </c>
      <c r="C244" s="20" t="s">
        <v>103</v>
      </c>
      <c r="I244" s="20" t="s">
        <v>10</v>
      </c>
      <c r="J244" s="20" t="s">
        <v>106</v>
      </c>
      <c r="K244" s="20" t="s">
        <v>107</v>
      </c>
      <c r="L244" s="20"/>
      <c r="M244" s="20"/>
      <c r="N244" s="20" t="s">
        <v>108</v>
      </c>
    </row>
    <row r="245" spans="1:14" x14ac:dyDescent="0.25">
      <c r="B245" s="5">
        <f>'Transmitter Data'!C285</f>
        <v>0</v>
      </c>
      <c r="C245" s="21" t="e">
        <f>IF(B245&gt;80,0.025*B245, IF(B245&lt;2, 4/B245,2))</f>
        <v>#DIV/0!</v>
      </c>
      <c r="I245" s="5">
        <v>147</v>
      </c>
      <c r="J245" s="5">
        <v>2</v>
      </c>
      <c r="K245" s="5">
        <v>1</v>
      </c>
      <c r="L245" s="5"/>
      <c r="M245" s="5"/>
      <c r="N245" s="21">
        <f>IF(I245&gt;80,219*((J245*K245)^0.5)/I245,IF(I245&lt;2,1.37*I245*(J245*K245)^0.5,(2.74*(J245*K245)^0.5)))</f>
        <v>2.1068895929231823</v>
      </c>
    </row>
    <row r="248" spans="1:14" x14ac:dyDescent="0.25">
      <c r="A248">
        <f>'Transmitter Data'!A290</f>
        <v>0</v>
      </c>
      <c r="B248" s="149" t="s">
        <v>102</v>
      </c>
      <c r="C248" s="149"/>
      <c r="D248" s="149"/>
      <c r="E248" s="149"/>
      <c r="F248" s="149"/>
      <c r="G248" s="149"/>
      <c r="I248" s="150" t="s">
        <v>105</v>
      </c>
      <c r="J248" s="150"/>
      <c r="K248" s="150"/>
      <c r="L248" s="150"/>
      <c r="M248" s="150"/>
      <c r="N248" s="150"/>
    </row>
    <row r="249" spans="1:14" ht="46.5" x14ac:dyDescent="0.35">
      <c r="B249" s="20" t="s">
        <v>10</v>
      </c>
      <c r="C249" s="20" t="s">
        <v>103</v>
      </c>
      <c r="I249" s="20" t="s">
        <v>10</v>
      </c>
      <c r="J249" s="20" t="s">
        <v>106</v>
      </c>
      <c r="K249" s="20" t="s">
        <v>107</v>
      </c>
      <c r="L249" s="20"/>
      <c r="M249" s="20"/>
      <c r="N249" s="20" t="s">
        <v>108</v>
      </c>
    </row>
    <row r="250" spans="1:14" x14ac:dyDescent="0.25">
      <c r="B250" s="5">
        <f>'Transmitter Data'!C290</f>
        <v>0</v>
      </c>
      <c r="C250" s="21" t="e">
        <f>IF(B250&gt;80,0.00625*B250, IF(B250&lt;2, 1/B250,0.5))</f>
        <v>#DIV/0!</v>
      </c>
      <c r="I250" s="5">
        <v>147</v>
      </c>
      <c r="J250" s="5">
        <v>10</v>
      </c>
      <c r="K250" s="5">
        <v>1</v>
      </c>
      <c r="L250" s="5"/>
      <c r="M250" s="5"/>
      <c r="N250" s="21">
        <f>IF(I250&gt;80,876*((J250*K250)^0.5)/I250,IF(I250&lt;2,5.5*I250*(J250*K250)^0.5,(10.95*(J250*K250)^0.5)))</f>
        <v>18.844593403452382</v>
      </c>
    </row>
    <row r="251" spans="1:14" x14ac:dyDescent="0.25">
      <c r="C251" s="2"/>
    </row>
    <row r="252" spans="1:14" x14ac:dyDescent="0.25">
      <c r="B252" s="149" t="s">
        <v>104</v>
      </c>
      <c r="C252" s="149"/>
      <c r="D252" s="149"/>
      <c r="E252" s="149"/>
      <c r="F252" s="149"/>
      <c r="G252" s="149"/>
      <c r="I252" s="146" t="s">
        <v>109</v>
      </c>
      <c r="J252" s="147"/>
      <c r="K252" s="147"/>
      <c r="L252" s="147"/>
      <c r="M252" s="147"/>
      <c r="N252" s="148"/>
    </row>
    <row r="253" spans="1:14" ht="46.5" x14ac:dyDescent="0.35">
      <c r="B253" s="20" t="s">
        <v>10</v>
      </c>
      <c r="C253" s="20" t="s">
        <v>103</v>
      </c>
      <c r="I253" s="20" t="s">
        <v>10</v>
      </c>
      <c r="J253" s="20" t="s">
        <v>106</v>
      </c>
      <c r="K253" s="20" t="s">
        <v>107</v>
      </c>
      <c r="L253" s="20"/>
      <c r="M253" s="20"/>
      <c r="N253" s="20" t="s">
        <v>108</v>
      </c>
    </row>
    <row r="254" spans="1:14" x14ac:dyDescent="0.25">
      <c r="B254" s="5">
        <f>'Transmitter Data'!C294</f>
        <v>0</v>
      </c>
      <c r="C254" s="21" t="e">
        <f>IF(B254&gt;80,0.025*B254, IF(B254&lt;2, 4/B254,2))</f>
        <v>#DIV/0!</v>
      </c>
      <c r="I254" s="5">
        <v>147</v>
      </c>
      <c r="J254" s="5">
        <v>2</v>
      </c>
      <c r="K254" s="5">
        <v>1</v>
      </c>
      <c r="L254" s="5"/>
      <c r="M254" s="5"/>
      <c r="N254" s="21">
        <f>IF(I254&gt;80,219*((J254*K254)^0.5)/I254,IF(I254&lt;2,1.37*I254*(J254*K254)^0.5,(2.74*(J254*K254)^0.5)))</f>
        <v>2.1068895929231823</v>
      </c>
    </row>
    <row r="257" spans="1:14" x14ac:dyDescent="0.25">
      <c r="A257">
        <f>'Transmitter Data'!A299</f>
        <v>0</v>
      </c>
      <c r="B257" s="149" t="s">
        <v>102</v>
      </c>
      <c r="C257" s="149"/>
      <c r="D257" s="149"/>
      <c r="E257" s="149"/>
      <c r="F257" s="149"/>
      <c r="G257" s="149"/>
      <c r="I257" s="150" t="s">
        <v>105</v>
      </c>
      <c r="J257" s="150"/>
      <c r="K257" s="150"/>
      <c r="L257" s="150"/>
      <c r="M257" s="150"/>
      <c r="N257" s="150"/>
    </row>
    <row r="258" spans="1:14" ht="46.5" x14ac:dyDescent="0.35">
      <c r="B258" s="20" t="s">
        <v>10</v>
      </c>
      <c r="C258" s="20" t="s">
        <v>103</v>
      </c>
      <c r="I258" s="20" t="s">
        <v>10</v>
      </c>
      <c r="J258" s="20" t="s">
        <v>106</v>
      </c>
      <c r="K258" s="20" t="s">
        <v>107</v>
      </c>
      <c r="L258" s="20"/>
      <c r="M258" s="20"/>
      <c r="N258" s="20" t="s">
        <v>108</v>
      </c>
    </row>
    <row r="259" spans="1:14" x14ac:dyDescent="0.25">
      <c r="B259" s="5">
        <f>'Transmitter Data'!C299</f>
        <v>0</v>
      </c>
      <c r="C259" s="21" t="e">
        <f>IF(B259&gt;80,0.00625*B259, IF(B259&lt;2, 1/B259,0.5))</f>
        <v>#DIV/0!</v>
      </c>
      <c r="I259" s="5">
        <v>147</v>
      </c>
      <c r="J259" s="5">
        <v>10</v>
      </c>
      <c r="K259" s="5">
        <v>1</v>
      </c>
      <c r="L259" s="5"/>
      <c r="M259" s="5"/>
      <c r="N259" s="21">
        <f>IF(I259&gt;80,876*((J259*K259)^0.5)/I259,IF(I259&lt;2,5.5*I259*(J259*K259)^0.5,(10.95*(J259*K259)^0.5)))</f>
        <v>18.844593403452382</v>
      </c>
    </row>
    <row r="260" spans="1:14" x14ac:dyDescent="0.25">
      <c r="C260" s="2"/>
    </row>
    <row r="261" spans="1:14" x14ac:dyDescent="0.25">
      <c r="B261" s="149" t="s">
        <v>104</v>
      </c>
      <c r="C261" s="149"/>
      <c r="D261" s="149"/>
      <c r="E261" s="149"/>
      <c r="F261" s="149"/>
      <c r="G261" s="149"/>
      <c r="I261" s="146" t="s">
        <v>109</v>
      </c>
      <c r="J261" s="147"/>
      <c r="K261" s="147"/>
      <c r="L261" s="147"/>
      <c r="M261" s="147"/>
      <c r="N261" s="148"/>
    </row>
    <row r="262" spans="1:14" ht="46.5" x14ac:dyDescent="0.35">
      <c r="B262" s="20" t="s">
        <v>10</v>
      </c>
      <c r="C262" s="20" t="s">
        <v>103</v>
      </c>
      <c r="I262" s="20" t="s">
        <v>10</v>
      </c>
      <c r="J262" s="20" t="s">
        <v>106</v>
      </c>
      <c r="K262" s="20" t="s">
        <v>107</v>
      </c>
      <c r="L262" s="20"/>
      <c r="M262" s="20"/>
      <c r="N262" s="20" t="s">
        <v>108</v>
      </c>
    </row>
    <row r="263" spans="1:14" x14ac:dyDescent="0.25">
      <c r="B263" s="5">
        <f>'Transmitter Data'!C303</f>
        <v>0</v>
      </c>
      <c r="C263" s="21" t="e">
        <f>IF(B263&gt;80,0.025*B263, IF(B263&lt;2, 4/B263,2))</f>
        <v>#DIV/0!</v>
      </c>
      <c r="I263" s="5">
        <v>147</v>
      </c>
      <c r="J263" s="5">
        <v>2</v>
      </c>
      <c r="K263" s="5">
        <v>1</v>
      </c>
      <c r="L263" s="5"/>
      <c r="M263" s="5"/>
      <c r="N263" s="21">
        <f>IF(I263&gt;80,219*((J263*K263)^0.5)/I263,IF(I263&lt;2,1.37*I263*(J263*K263)^0.5,(2.74*(J263*K263)^0.5)))</f>
        <v>2.1068895929231823</v>
      </c>
    </row>
    <row r="266" spans="1:14" x14ac:dyDescent="0.25">
      <c r="A266">
        <f>'Transmitter Data'!A308</f>
        <v>0</v>
      </c>
      <c r="B266" s="149" t="s">
        <v>102</v>
      </c>
      <c r="C266" s="149"/>
      <c r="D266" s="149"/>
      <c r="E266" s="149"/>
      <c r="F266" s="149"/>
      <c r="G266" s="149"/>
      <c r="I266" s="150" t="s">
        <v>105</v>
      </c>
      <c r="J266" s="150"/>
      <c r="K266" s="150"/>
      <c r="L266" s="150"/>
      <c r="M266" s="150"/>
      <c r="N266" s="150"/>
    </row>
    <row r="267" spans="1:14" ht="46.5" x14ac:dyDescent="0.35">
      <c r="B267" s="20" t="s">
        <v>10</v>
      </c>
      <c r="C267" s="20" t="s">
        <v>103</v>
      </c>
      <c r="I267" s="20" t="s">
        <v>10</v>
      </c>
      <c r="J267" s="20" t="s">
        <v>106</v>
      </c>
      <c r="K267" s="20" t="s">
        <v>107</v>
      </c>
      <c r="L267" s="20"/>
      <c r="M267" s="20"/>
      <c r="N267" s="20" t="s">
        <v>108</v>
      </c>
    </row>
    <row r="268" spans="1:14" x14ac:dyDescent="0.25">
      <c r="B268" s="5">
        <f>'Transmitter Data'!C308</f>
        <v>0</v>
      </c>
      <c r="C268" s="21" t="e">
        <f>IF(B268&gt;80,0.00625*B268, IF(B268&lt;2, 1/B268,0.5))</f>
        <v>#DIV/0!</v>
      </c>
      <c r="I268" s="5">
        <v>147</v>
      </c>
      <c r="J268" s="5">
        <v>10</v>
      </c>
      <c r="K268" s="5">
        <v>1</v>
      </c>
      <c r="L268" s="5"/>
      <c r="M268" s="5"/>
      <c r="N268" s="21">
        <f>IF(I268&gt;80,876*((J268*K268)^0.5)/I268,IF(I268&lt;2,5.5*I268*(J268*K268)^0.5,(10.95*(J268*K268)^0.5)))</f>
        <v>18.844593403452382</v>
      </c>
    </row>
    <row r="269" spans="1:14" x14ac:dyDescent="0.25">
      <c r="C269" s="2"/>
    </row>
    <row r="270" spans="1:14" x14ac:dyDescent="0.25">
      <c r="B270" s="149" t="s">
        <v>104</v>
      </c>
      <c r="C270" s="149"/>
      <c r="D270" s="149"/>
      <c r="E270" s="149"/>
      <c r="F270" s="149"/>
      <c r="G270" s="149"/>
      <c r="I270" s="146" t="s">
        <v>109</v>
      </c>
      <c r="J270" s="147"/>
      <c r="K270" s="147"/>
      <c r="L270" s="147"/>
      <c r="M270" s="147"/>
      <c r="N270" s="148"/>
    </row>
    <row r="271" spans="1:14" ht="46.5" x14ac:dyDescent="0.35">
      <c r="B271" s="20" t="s">
        <v>10</v>
      </c>
      <c r="C271" s="20" t="s">
        <v>103</v>
      </c>
      <c r="I271" s="20" t="s">
        <v>10</v>
      </c>
      <c r="J271" s="20" t="s">
        <v>106</v>
      </c>
      <c r="K271" s="20" t="s">
        <v>107</v>
      </c>
      <c r="L271" s="20"/>
      <c r="M271" s="20"/>
      <c r="N271" s="20" t="s">
        <v>108</v>
      </c>
    </row>
    <row r="272" spans="1:14" x14ac:dyDescent="0.25">
      <c r="B272" s="5">
        <f>'Transmitter Data'!C312</f>
        <v>0</v>
      </c>
      <c r="C272" s="21" t="e">
        <f>IF(B272&gt;80,0.025*B272, IF(B272&lt;2, 4/B272,2))</f>
        <v>#DIV/0!</v>
      </c>
      <c r="I272" s="5">
        <v>147</v>
      </c>
      <c r="J272" s="5">
        <v>2</v>
      </c>
      <c r="K272" s="5">
        <v>1</v>
      </c>
      <c r="L272" s="5"/>
      <c r="M272" s="5"/>
      <c r="N272" s="21">
        <f>IF(I272&gt;80,219*((J272*K272)^0.5)/I272,IF(I272&lt;2,1.37*I272*(J272*K272)^0.5,(2.74*(J272*K272)^0.5)))</f>
        <v>2.1068895929231823</v>
      </c>
    </row>
    <row r="275" spans="1:14" x14ac:dyDescent="0.25">
      <c r="A275">
        <f>'Transmitter Data'!A317</f>
        <v>0</v>
      </c>
      <c r="B275" s="149" t="s">
        <v>102</v>
      </c>
      <c r="C275" s="149"/>
      <c r="D275" s="149"/>
      <c r="E275" s="149"/>
      <c r="F275" s="149"/>
      <c r="G275" s="149"/>
      <c r="I275" s="150" t="s">
        <v>105</v>
      </c>
      <c r="J275" s="150"/>
      <c r="K275" s="150"/>
      <c r="L275" s="150"/>
      <c r="M275" s="150"/>
      <c r="N275" s="150"/>
    </row>
    <row r="276" spans="1:14" ht="46.5" x14ac:dyDescent="0.35">
      <c r="B276" s="20" t="s">
        <v>10</v>
      </c>
      <c r="C276" s="20" t="s">
        <v>103</v>
      </c>
      <c r="I276" s="20" t="s">
        <v>10</v>
      </c>
      <c r="J276" s="20" t="s">
        <v>106</v>
      </c>
      <c r="K276" s="20" t="s">
        <v>107</v>
      </c>
      <c r="L276" s="20"/>
      <c r="M276" s="20"/>
      <c r="N276" s="20" t="s">
        <v>108</v>
      </c>
    </row>
    <row r="277" spans="1:14" x14ac:dyDescent="0.25">
      <c r="B277" s="5">
        <f>'Transmitter Data'!C317</f>
        <v>0</v>
      </c>
      <c r="C277" s="21" t="e">
        <f>IF(B277&gt;80,0.00625*B277, IF(B277&lt;2, 1/B277,0.5))</f>
        <v>#DIV/0!</v>
      </c>
      <c r="I277" s="5">
        <v>147</v>
      </c>
      <c r="J277" s="5">
        <v>10</v>
      </c>
      <c r="K277" s="5">
        <v>1</v>
      </c>
      <c r="L277" s="5"/>
      <c r="M277" s="5"/>
      <c r="N277" s="21">
        <f>IF(I277&gt;80,876*((J277*K277)^0.5)/I277,IF(I277&lt;2,5.5*I277*(J277*K277)^0.5,(10.95*(J277*K277)^0.5)))</f>
        <v>18.844593403452382</v>
      </c>
    </row>
    <row r="278" spans="1:14" x14ac:dyDescent="0.25">
      <c r="C278" s="2"/>
    </row>
    <row r="279" spans="1:14" x14ac:dyDescent="0.25">
      <c r="B279" s="149" t="s">
        <v>104</v>
      </c>
      <c r="C279" s="149"/>
      <c r="D279" s="149"/>
      <c r="E279" s="149"/>
      <c r="F279" s="149"/>
      <c r="G279" s="149"/>
      <c r="I279" s="146" t="s">
        <v>109</v>
      </c>
      <c r="J279" s="147"/>
      <c r="K279" s="147"/>
      <c r="L279" s="147"/>
      <c r="M279" s="147"/>
      <c r="N279" s="148"/>
    </row>
    <row r="280" spans="1:14" ht="46.5" x14ac:dyDescent="0.35">
      <c r="B280" s="20" t="s">
        <v>10</v>
      </c>
      <c r="C280" s="20" t="s">
        <v>103</v>
      </c>
      <c r="I280" s="20" t="s">
        <v>10</v>
      </c>
      <c r="J280" s="20" t="s">
        <v>106</v>
      </c>
      <c r="K280" s="20" t="s">
        <v>107</v>
      </c>
      <c r="L280" s="20"/>
      <c r="M280" s="20"/>
      <c r="N280" s="20" t="s">
        <v>108</v>
      </c>
    </row>
    <row r="281" spans="1:14" x14ac:dyDescent="0.25">
      <c r="B281" s="5">
        <f>'Transmitter Data'!C321</f>
        <v>0</v>
      </c>
      <c r="C281" s="21" t="e">
        <f>IF(B281&gt;80,0.025*B281, IF(B281&lt;2, 4/B281,2))</f>
        <v>#DIV/0!</v>
      </c>
      <c r="I281" s="5">
        <v>147</v>
      </c>
      <c r="J281" s="5">
        <v>2</v>
      </c>
      <c r="K281" s="5">
        <v>1</v>
      </c>
      <c r="L281" s="5"/>
      <c r="M281" s="5"/>
      <c r="N281" s="21">
        <f>IF(I281&gt;80,219*((J281*K281)^0.5)/I281,IF(I281&lt;2,1.37*I281*(J281*K281)^0.5,(2.74*(J281*K281)^0.5)))</f>
        <v>2.1068895929231823</v>
      </c>
    </row>
    <row r="284" spans="1:14" x14ac:dyDescent="0.25">
      <c r="A284">
        <f>'Transmitter Data'!A326</f>
        <v>0</v>
      </c>
      <c r="B284" s="149" t="s">
        <v>102</v>
      </c>
      <c r="C284" s="149"/>
      <c r="D284" s="149"/>
      <c r="E284" s="149"/>
      <c r="F284" s="149"/>
      <c r="G284" s="149"/>
      <c r="I284" s="150" t="s">
        <v>105</v>
      </c>
      <c r="J284" s="150"/>
      <c r="K284" s="150"/>
      <c r="L284" s="150"/>
      <c r="M284" s="150"/>
      <c r="N284" s="150"/>
    </row>
    <row r="285" spans="1:14" ht="46.5" x14ac:dyDescent="0.35">
      <c r="B285" s="20" t="s">
        <v>10</v>
      </c>
      <c r="C285" s="20" t="s">
        <v>103</v>
      </c>
      <c r="I285" s="20" t="s">
        <v>10</v>
      </c>
      <c r="J285" s="20" t="s">
        <v>106</v>
      </c>
      <c r="K285" s="20" t="s">
        <v>107</v>
      </c>
      <c r="L285" s="20"/>
      <c r="M285" s="20"/>
      <c r="N285" s="20" t="s">
        <v>108</v>
      </c>
    </row>
    <row r="286" spans="1:14" x14ac:dyDescent="0.25">
      <c r="B286" s="5">
        <f>'Transmitter Data'!C326</f>
        <v>0</v>
      </c>
      <c r="C286" s="21" t="e">
        <f>IF(B286&gt;80,0.00625*B286, IF(B286&lt;2, 1/B286,0.5))</f>
        <v>#DIV/0!</v>
      </c>
      <c r="I286" s="5">
        <v>147</v>
      </c>
      <c r="J286" s="5">
        <v>10</v>
      </c>
      <c r="K286" s="5">
        <v>1</v>
      </c>
      <c r="L286" s="5"/>
      <c r="M286" s="5"/>
      <c r="N286" s="21">
        <f>IF(I286&gt;80,876*((J286*K286)^0.5)/I286,IF(I286&lt;2,5.5*I286*(J286*K286)^0.5,(10.95*(J286*K286)^0.5)))</f>
        <v>18.844593403452382</v>
      </c>
    </row>
    <row r="287" spans="1:14" x14ac:dyDescent="0.25">
      <c r="C287" s="2"/>
    </row>
    <row r="288" spans="1:14" x14ac:dyDescent="0.25">
      <c r="B288" s="149" t="s">
        <v>104</v>
      </c>
      <c r="C288" s="149"/>
      <c r="D288" s="149"/>
      <c r="E288" s="149"/>
      <c r="F288" s="149"/>
      <c r="G288" s="149"/>
      <c r="I288" s="146" t="s">
        <v>109</v>
      </c>
      <c r="J288" s="147"/>
      <c r="K288" s="147"/>
      <c r="L288" s="147"/>
      <c r="M288" s="147"/>
      <c r="N288" s="148"/>
    </row>
    <row r="289" spans="1:14" ht="46.5" x14ac:dyDescent="0.35">
      <c r="B289" s="20" t="s">
        <v>10</v>
      </c>
      <c r="C289" s="20" t="s">
        <v>103</v>
      </c>
      <c r="I289" s="20" t="s">
        <v>10</v>
      </c>
      <c r="J289" s="20" t="s">
        <v>106</v>
      </c>
      <c r="K289" s="20" t="s">
        <v>107</v>
      </c>
      <c r="L289" s="20"/>
      <c r="M289" s="20"/>
      <c r="N289" s="20" t="s">
        <v>108</v>
      </c>
    </row>
    <row r="290" spans="1:14" x14ac:dyDescent="0.25">
      <c r="B290" s="5">
        <f>'Transmitter Data'!C330</f>
        <v>0</v>
      </c>
      <c r="C290" s="21" t="e">
        <f>IF(B290&gt;80,0.025*B290, IF(B290&lt;2, 4/B290,2))</f>
        <v>#DIV/0!</v>
      </c>
      <c r="I290" s="5">
        <v>147</v>
      </c>
      <c r="J290" s="5">
        <v>2</v>
      </c>
      <c r="K290" s="5">
        <v>1</v>
      </c>
      <c r="L290" s="5"/>
      <c r="M290" s="5"/>
      <c r="N290" s="21">
        <f>IF(I290&gt;80,219*((J290*K290)^0.5)/I290,IF(I290&lt;2,1.37*I290*(J290*K290)^0.5,(2.74*(J290*K290)^0.5)))</f>
        <v>2.1068895929231823</v>
      </c>
    </row>
    <row r="293" spans="1:14" x14ac:dyDescent="0.25">
      <c r="A293">
        <f>'Transmitter Data'!A335</f>
        <v>0</v>
      </c>
      <c r="B293" s="149" t="s">
        <v>102</v>
      </c>
      <c r="C293" s="149"/>
      <c r="D293" s="149"/>
      <c r="E293" s="149"/>
      <c r="F293" s="149"/>
      <c r="G293" s="149"/>
      <c r="I293" s="150" t="s">
        <v>105</v>
      </c>
      <c r="J293" s="150"/>
      <c r="K293" s="150"/>
      <c r="L293" s="150"/>
      <c r="M293" s="150"/>
      <c r="N293" s="150"/>
    </row>
    <row r="294" spans="1:14" ht="46.5" x14ac:dyDescent="0.35">
      <c r="B294" s="20" t="s">
        <v>10</v>
      </c>
      <c r="C294" s="20" t="s">
        <v>103</v>
      </c>
      <c r="I294" s="20" t="s">
        <v>10</v>
      </c>
      <c r="J294" s="20" t="s">
        <v>106</v>
      </c>
      <c r="K294" s="20" t="s">
        <v>107</v>
      </c>
      <c r="L294" s="20"/>
      <c r="M294" s="20"/>
      <c r="N294" s="20" t="s">
        <v>108</v>
      </c>
    </row>
    <row r="295" spans="1:14" x14ac:dyDescent="0.25">
      <c r="B295" s="5">
        <f>'Transmitter Data'!C335</f>
        <v>0</v>
      </c>
      <c r="C295" s="21" t="e">
        <f>IF(B295&gt;80,0.00625*B295, IF(B295&lt;2, 1/B295,0.5))</f>
        <v>#DIV/0!</v>
      </c>
      <c r="I295" s="5">
        <v>147</v>
      </c>
      <c r="J295" s="5">
        <v>10</v>
      </c>
      <c r="K295" s="5">
        <v>1</v>
      </c>
      <c r="L295" s="5"/>
      <c r="M295" s="5"/>
      <c r="N295" s="21">
        <f>IF(I295&gt;80,876*((J295*K295)^0.5)/I295,IF(I295&lt;2,5.5*I295*(J295*K295)^0.5,(10.95*(J295*K295)^0.5)))</f>
        <v>18.844593403452382</v>
      </c>
    </row>
    <row r="296" spans="1:14" x14ac:dyDescent="0.25">
      <c r="C296" s="2"/>
    </row>
    <row r="297" spans="1:14" x14ac:dyDescent="0.25">
      <c r="B297" s="149" t="s">
        <v>104</v>
      </c>
      <c r="C297" s="149"/>
      <c r="D297" s="149"/>
      <c r="E297" s="149"/>
      <c r="F297" s="149"/>
      <c r="G297" s="149"/>
      <c r="I297" s="146" t="s">
        <v>109</v>
      </c>
      <c r="J297" s="147"/>
      <c r="K297" s="147"/>
      <c r="L297" s="147"/>
      <c r="M297" s="147"/>
      <c r="N297" s="148"/>
    </row>
    <row r="298" spans="1:14" ht="46.5" x14ac:dyDescent="0.35">
      <c r="B298" s="20" t="s">
        <v>10</v>
      </c>
      <c r="C298" s="20" t="s">
        <v>103</v>
      </c>
      <c r="I298" s="20" t="s">
        <v>10</v>
      </c>
      <c r="J298" s="20" t="s">
        <v>106</v>
      </c>
      <c r="K298" s="20" t="s">
        <v>107</v>
      </c>
      <c r="L298" s="20"/>
      <c r="M298" s="20"/>
      <c r="N298" s="20" t="s">
        <v>108</v>
      </c>
    </row>
    <row r="299" spans="1:14" x14ac:dyDescent="0.25">
      <c r="B299" s="5">
        <f>'Transmitter Data'!C339</f>
        <v>0</v>
      </c>
      <c r="C299" s="21" t="e">
        <f>IF(B299&gt;80,0.025*B299, IF(B299&lt;2, 4/B299,2))</f>
        <v>#DIV/0!</v>
      </c>
      <c r="I299" s="5">
        <v>147</v>
      </c>
      <c r="J299" s="5">
        <v>2</v>
      </c>
      <c r="K299" s="5">
        <v>1</v>
      </c>
      <c r="L299" s="5"/>
      <c r="M299" s="5"/>
      <c r="N299" s="21">
        <f>IF(I299&gt;80,219*((J299*K299)^0.5)/I299,IF(I299&lt;2,1.37*I299*(J299*K299)^0.5,(2.74*(J299*K299)^0.5)))</f>
        <v>2.1068895929231823</v>
      </c>
    </row>
    <row r="302" spans="1:14" x14ac:dyDescent="0.25">
      <c r="A302">
        <f>'Transmitter Data'!A344</f>
        <v>0</v>
      </c>
      <c r="B302" s="149" t="s">
        <v>102</v>
      </c>
      <c r="C302" s="149"/>
      <c r="D302" s="149"/>
      <c r="E302" s="149"/>
      <c r="F302" s="149"/>
      <c r="G302" s="149"/>
      <c r="I302" s="150" t="s">
        <v>105</v>
      </c>
      <c r="J302" s="150"/>
      <c r="K302" s="150"/>
      <c r="L302" s="150"/>
      <c r="M302" s="150"/>
      <c r="N302" s="150"/>
    </row>
    <row r="303" spans="1:14" ht="46.5" x14ac:dyDescent="0.35">
      <c r="B303" s="20" t="s">
        <v>10</v>
      </c>
      <c r="C303" s="20" t="s">
        <v>103</v>
      </c>
      <c r="I303" s="20" t="s">
        <v>10</v>
      </c>
      <c r="J303" s="20" t="s">
        <v>106</v>
      </c>
      <c r="K303" s="20" t="s">
        <v>107</v>
      </c>
      <c r="L303" s="20"/>
      <c r="M303" s="20"/>
      <c r="N303" s="20" t="s">
        <v>108</v>
      </c>
    </row>
    <row r="304" spans="1:14" x14ac:dyDescent="0.25">
      <c r="B304" s="5">
        <f>'Transmitter Data'!C344</f>
        <v>0</v>
      </c>
      <c r="C304" s="21" t="e">
        <f>IF(B304&gt;80,0.00625*B304, IF(B304&lt;2, 1/B304,0.5))</f>
        <v>#DIV/0!</v>
      </c>
      <c r="I304" s="5">
        <v>147</v>
      </c>
      <c r="J304" s="5">
        <v>10</v>
      </c>
      <c r="K304" s="5">
        <v>1</v>
      </c>
      <c r="L304" s="5"/>
      <c r="M304" s="5"/>
      <c r="N304" s="21">
        <f>IF(I304&gt;80,876*((J304*K304)^0.5)/I304,IF(I304&lt;2,5.5*I304*(J304*K304)^0.5,(10.95*(J304*K304)^0.5)))</f>
        <v>18.844593403452382</v>
      </c>
    </row>
    <row r="305" spans="1:14" x14ac:dyDescent="0.25">
      <c r="C305" s="2"/>
    </row>
    <row r="306" spans="1:14" x14ac:dyDescent="0.25">
      <c r="B306" s="149" t="s">
        <v>104</v>
      </c>
      <c r="C306" s="149"/>
      <c r="D306" s="149"/>
      <c r="E306" s="149"/>
      <c r="F306" s="149"/>
      <c r="G306" s="149"/>
      <c r="I306" s="146" t="s">
        <v>109</v>
      </c>
      <c r="J306" s="147"/>
      <c r="K306" s="147"/>
      <c r="L306" s="147"/>
      <c r="M306" s="147"/>
      <c r="N306" s="148"/>
    </row>
    <row r="307" spans="1:14" ht="46.5" x14ac:dyDescent="0.35">
      <c r="B307" s="20" t="s">
        <v>10</v>
      </c>
      <c r="C307" s="20" t="s">
        <v>103</v>
      </c>
      <c r="I307" s="20" t="s">
        <v>10</v>
      </c>
      <c r="J307" s="20" t="s">
        <v>106</v>
      </c>
      <c r="K307" s="20" t="s">
        <v>107</v>
      </c>
      <c r="L307" s="20"/>
      <c r="M307" s="20"/>
      <c r="N307" s="20" t="s">
        <v>108</v>
      </c>
    </row>
    <row r="308" spans="1:14" x14ac:dyDescent="0.25">
      <c r="B308" s="5">
        <f>'Transmitter Data'!C348</f>
        <v>0</v>
      </c>
      <c r="C308" s="21" t="e">
        <f>IF(B308&gt;80,0.025*B308, IF(B308&lt;2, 4/B308,2))</f>
        <v>#DIV/0!</v>
      </c>
      <c r="I308" s="5">
        <v>147</v>
      </c>
      <c r="J308" s="5">
        <v>2</v>
      </c>
      <c r="K308" s="5">
        <v>1</v>
      </c>
      <c r="L308" s="5"/>
      <c r="M308" s="5"/>
      <c r="N308" s="21">
        <f>IF(I308&gt;80,219*((J308*K308)^0.5)/I308,IF(I308&lt;2,1.37*I308*(J308*K308)^0.5,(2.74*(J308*K308)^0.5)))</f>
        <v>2.1068895929231823</v>
      </c>
    </row>
    <row r="311" spans="1:14" x14ac:dyDescent="0.25">
      <c r="A311">
        <f>'Transmitter Data'!A353</f>
        <v>0</v>
      </c>
      <c r="B311" s="149" t="s">
        <v>102</v>
      </c>
      <c r="C311" s="149"/>
      <c r="D311" s="149"/>
      <c r="E311" s="149"/>
      <c r="F311" s="149"/>
      <c r="G311" s="149"/>
      <c r="I311" s="150" t="s">
        <v>105</v>
      </c>
      <c r="J311" s="150"/>
      <c r="K311" s="150"/>
      <c r="L311" s="150"/>
      <c r="M311" s="150"/>
      <c r="N311" s="150"/>
    </row>
    <row r="312" spans="1:14" ht="46.5" x14ac:dyDescent="0.35">
      <c r="B312" s="20" t="s">
        <v>10</v>
      </c>
      <c r="C312" s="20" t="s">
        <v>103</v>
      </c>
      <c r="I312" s="20" t="s">
        <v>10</v>
      </c>
      <c r="J312" s="20" t="s">
        <v>106</v>
      </c>
      <c r="K312" s="20" t="s">
        <v>107</v>
      </c>
      <c r="L312" s="20"/>
      <c r="M312" s="20"/>
      <c r="N312" s="20" t="s">
        <v>108</v>
      </c>
    </row>
    <row r="313" spans="1:14" x14ac:dyDescent="0.25">
      <c r="B313" s="5">
        <f>'Transmitter Data'!C353</f>
        <v>0</v>
      </c>
      <c r="C313" s="21" t="e">
        <f>IF(B313&gt;80,0.00625*B313, IF(B313&lt;2, 1/B313,0.5))</f>
        <v>#DIV/0!</v>
      </c>
      <c r="I313" s="5">
        <v>147</v>
      </c>
      <c r="J313" s="5">
        <v>10</v>
      </c>
      <c r="K313" s="5">
        <v>1</v>
      </c>
      <c r="L313" s="5"/>
      <c r="M313" s="5"/>
      <c r="N313" s="21">
        <f>IF(I313&gt;80,876*((J313*K313)^0.5)/I313,IF(I313&lt;2,5.5*I313*(J313*K313)^0.5,(10.95*(J313*K313)^0.5)))</f>
        <v>18.844593403452382</v>
      </c>
    </row>
    <row r="314" spans="1:14" x14ac:dyDescent="0.25">
      <c r="C314" s="2"/>
    </row>
    <row r="315" spans="1:14" x14ac:dyDescent="0.25">
      <c r="B315" s="149" t="s">
        <v>104</v>
      </c>
      <c r="C315" s="149"/>
      <c r="D315" s="149"/>
      <c r="E315" s="149"/>
      <c r="F315" s="149"/>
      <c r="G315" s="149"/>
      <c r="I315" s="146" t="s">
        <v>109</v>
      </c>
      <c r="J315" s="147"/>
      <c r="K315" s="147"/>
      <c r="L315" s="147"/>
      <c r="M315" s="147"/>
      <c r="N315" s="148"/>
    </row>
    <row r="316" spans="1:14" ht="46.5" x14ac:dyDescent="0.35">
      <c r="B316" s="20" t="s">
        <v>10</v>
      </c>
      <c r="C316" s="20" t="s">
        <v>103</v>
      </c>
      <c r="I316" s="20" t="s">
        <v>10</v>
      </c>
      <c r="J316" s="20" t="s">
        <v>106</v>
      </c>
      <c r="K316" s="20" t="s">
        <v>107</v>
      </c>
      <c r="L316" s="20"/>
      <c r="M316" s="20"/>
      <c r="N316" s="20" t="s">
        <v>108</v>
      </c>
    </row>
    <row r="317" spans="1:14" x14ac:dyDescent="0.25">
      <c r="B317" s="5">
        <f>'Transmitter Data'!C357</f>
        <v>0</v>
      </c>
      <c r="C317" s="21" t="e">
        <f>IF(B317&gt;80,0.025*B317, IF(B317&lt;2, 4/B317,2))</f>
        <v>#DIV/0!</v>
      </c>
      <c r="I317" s="5">
        <v>147</v>
      </c>
      <c r="J317" s="5">
        <v>2</v>
      </c>
      <c r="K317" s="5">
        <v>1</v>
      </c>
      <c r="L317" s="5"/>
      <c r="M317" s="5"/>
      <c r="N317" s="21">
        <f>IF(I317&gt;80,219*((J317*K317)^0.5)/I317,IF(I317&lt;2,1.37*I317*(J317*K317)^0.5,(2.74*(J317*K317)^0.5)))</f>
        <v>2.1068895929231823</v>
      </c>
    </row>
    <row r="320" spans="1:14" x14ac:dyDescent="0.25">
      <c r="A320">
        <f>'Transmitter Data'!A362</f>
        <v>0</v>
      </c>
      <c r="B320" s="149" t="s">
        <v>102</v>
      </c>
      <c r="C320" s="149"/>
      <c r="D320" s="149"/>
      <c r="E320" s="149"/>
      <c r="F320" s="149"/>
      <c r="G320" s="149"/>
      <c r="I320" s="150" t="s">
        <v>105</v>
      </c>
      <c r="J320" s="150"/>
      <c r="K320" s="150"/>
      <c r="L320" s="150"/>
      <c r="M320" s="150"/>
      <c r="N320" s="150"/>
    </row>
    <row r="321" spans="1:14" ht="46.5" x14ac:dyDescent="0.35">
      <c r="B321" s="20" t="s">
        <v>10</v>
      </c>
      <c r="C321" s="20" t="s">
        <v>103</v>
      </c>
      <c r="I321" s="20" t="s">
        <v>10</v>
      </c>
      <c r="J321" s="20" t="s">
        <v>106</v>
      </c>
      <c r="K321" s="20" t="s">
        <v>107</v>
      </c>
      <c r="L321" s="20"/>
      <c r="M321" s="20"/>
      <c r="N321" s="20" t="s">
        <v>108</v>
      </c>
    </row>
    <row r="322" spans="1:14" x14ac:dyDescent="0.25">
      <c r="B322" s="5">
        <f>'Transmitter Data'!C362</f>
        <v>0</v>
      </c>
      <c r="C322" s="21" t="e">
        <f>IF(B322&gt;80,0.00625*B322, IF(B322&lt;2, 1/B322,0.5))</f>
        <v>#DIV/0!</v>
      </c>
      <c r="I322" s="5">
        <v>147</v>
      </c>
      <c r="J322" s="5">
        <v>10</v>
      </c>
      <c r="K322" s="5">
        <v>1</v>
      </c>
      <c r="L322" s="5"/>
      <c r="M322" s="5"/>
      <c r="N322" s="21">
        <f>IF(I322&gt;80,876*((J322*K322)^0.5)/I322,IF(I322&lt;2,5.5*I322*(J322*K322)^0.5,(10.95*(J322*K322)^0.5)))</f>
        <v>18.844593403452382</v>
      </c>
    </row>
    <row r="323" spans="1:14" x14ac:dyDescent="0.25">
      <c r="C323" s="2"/>
    </row>
    <row r="324" spans="1:14" x14ac:dyDescent="0.25">
      <c r="B324" s="149" t="s">
        <v>104</v>
      </c>
      <c r="C324" s="149"/>
      <c r="D324" s="149"/>
      <c r="E324" s="149"/>
      <c r="F324" s="149"/>
      <c r="G324" s="149"/>
      <c r="I324" s="146" t="s">
        <v>109</v>
      </c>
      <c r="J324" s="147"/>
      <c r="K324" s="147"/>
      <c r="L324" s="147"/>
      <c r="M324" s="147"/>
      <c r="N324" s="148"/>
    </row>
    <row r="325" spans="1:14" ht="46.5" x14ac:dyDescent="0.35">
      <c r="B325" s="20" t="s">
        <v>10</v>
      </c>
      <c r="C325" s="20" t="s">
        <v>103</v>
      </c>
      <c r="I325" s="20" t="s">
        <v>10</v>
      </c>
      <c r="J325" s="20" t="s">
        <v>106</v>
      </c>
      <c r="K325" s="20" t="s">
        <v>107</v>
      </c>
      <c r="L325" s="20"/>
      <c r="M325" s="20"/>
      <c r="N325" s="20" t="s">
        <v>108</v>
      </c>
    </row>
    <row r="326" spans="1:14" x14ac:dyDescent="0.25">
      <c r="B326" s="5">
        <f>'Transmitter Data'!C366</f>
        <v>0</v>
      </c>
      <c r="C326" s="21" t="e">
        <f>IF(B326&gt;80,0.025*B326, IF(B326&lt;2, 4/B326,2))</f>
        <v>#DIV/0!</v>
      </c>
      <c r="I326" s="5">
        <v>147</v>
      </c>
      <c r="J326" s="5">
        <v>2</v>
      </c>
      <c r="K326" s="5">
        <v>1</v>
      </c>
      <c r="L326" s="5"/>
      <c r="M326" s="5"/>
      <c r="N326" s="21">
        <f>IF(I326&gt;80,219*((J326*K326)^0.5)/I326,IF(I326&lt;2,1.37*I326*(J326*K326)^0.5,(2.74*(J326*K326)^0.5)))</f>
        <v>2.1068895929231823</v>
      </c>
    </row>
    <row r="329" spans="1:14" x14ac:dyDescent="0.25">
      <c r="A329">
        <f>'Transmitter Data'!A371</f>
        <v>0</v>
      </c>
      <c r="B329" s="149" t="s">
        <v>102</v>
      </c>
      <c r="C329" s="149"/>
      <c r="D329" s="149"/>
      <c r="E329" s="149"/>
      <c r="F329" s="149"/>
      <c r="G329" s="149"/>
      <c r="I329" s="150" t="s">
        <v>105</v>
      </c>
      <c r="J329" s="150"/>
      <c r="K329" s="150"/>
      <c r="L329" s="150"/>
      <c r="M329" s="150"/>
      <c r="N329" s="150"/>
    </row>
    <row r="330" spans="1:14" ht="46.5" x14ac:dyDescent="0.35">
      <c r="B330" s="20" t="s">
        <v>10</v>
      </c>
      <c r="C330" s="20" t="s">
        <v>103</v>
      </c>
      <c r="I330" s="20" t="s">
        <v>10</v>
      </c>
      <c r="J330" s="20" t="s">
        <v>106</v>
      </c>
      <c r="K330" s="20" t="s">
        <v>107</v>
      </c>
      <c r="L330" s="20"/>
      <c r="M330" s="20"/>
      <c r="N330" s="20" t="s">
        <v>108</v>
      </c>
    </row>
    <row r="331" spans="1:14" x14ac:dyDescent="0.25">
      <c r="B331" s="5">
        <f>'Transmitter Data'!C371</f>
        <v>0</v>
      </c>
      <c r="C331" s="21" t="e">
        <f>IF(B331&gt;80,0.00625*B331, IF(B331&lt;2, 1/B331,0.5))</f>
        <v>#DIV/0!</v>
      </c>
      <c r="I331" s="5">
        <v>147</v>
      </c>
      <c r="J331" s="5">
        <v>10</v>
      </c>
      <c r="K331" s="5">
        <v>1</v>
      </c>
      <c r="L331" s="5"/>
      <c r="M331" s="5"/>
      <c r="N331" s="21">
        <f>IF(I331&gt;80,876*((J331*K331)^0.5)/I331,IF(I331&lt;2,5.5*I331*(J331*K331)^0.5,(10.95*(J331*K331)^0.5)))</f>
        <v>18.844593403452382</v>
      </c>
    </row>
    <row r="332" spans="1:14" x14ac:dyDescent="0.25">
      <c r="C332" s="2"/>
    </row>
    <row r="333" spans="1:14" x14ac:dyDescent="0.25">
      <c r="B333" s="149" t="s">
        <v>104</v>
      </c>
      <c r="C333" s="149"/>
      <c r="D333" s="149"/>
      <c r="E333" s="149"/>
      <c r="F333" s="149"/>
      <c r="G333" s="149"/>
      <c r="I333" s="146" t="s">
        <v>109</v>
      </c>
      <c r="J333" s="147"/>
      <c r="K333" s="147"/>
      <c r="L333" s="147"/>
      <c r="M333" s="147"/>
      <c r="N333" s="148"/>
    </row>
    <row r="334" spans="1:14" ht="46.5" x14ac:dyDescent="0.35">
      <c r="B334" s="20" t="s">
        <v>10</v>
      </c>
      <c r="C334" s="20" t="s">
        <v>103</v>
      </c>
      <c r="I334" s="20" t="s">
        <v>10</v>
      </c>
      <c r="J334" s="20" t="s">
        <v>106</v>
      </c>
      <c r="K334" s="20" t="s">
        <v>107</v>
      </c>
      <c r="L334" s="20"/>
      <c r="M334" s="20"/>
      <c r="N334" s="20" t="s">
        <v>108</v>
      </c>
    </row>
    <row r="335" spans="1:14" x14ac:dyDescent="0.25">
      <c r="B335" s="5">
        <f>'Transmitter Data'!C375</f>
        <v>0</v>
      </c>
      <c r="C335" s="21" t="e">
        <f>IF(B335&gt;80,0.025*B335, IF(B335&lt;2, 4/B335,2))</f>
        <v>#DIV/0!</v>
      </c>
      <c r="I335" s="5">
        <v>147</v>
      </c>
      <c r="J335" s="5">
        <v>2</v>
      </c>
      <c r="K335" s="5">
        <v>1</v>
      </c>
      <c r="L335" s="5"/>
      <c r="M335" s="5"/>
      <c r="N335" s="21">
        <f>IF(I335&gt;80,219*((J335*K335)^0.5)/I335,IF(I335&lt;2,1.37*I335*(J335*K335)^0.5,(2.74*(J335*K335)^0.5)))</f>
        <v>2.1068895929231823</v>
      </c>
    </row>
    <row r="338" spans="1:14" x14ac:dyDescent="0.25">
      <c r="A338">
        <f>'Transmitter Data'!A380</f>
        <v>0</v>
      </c>
      <c r="B338" s="149" t="s">
        <v>102</v>
      </c>
      <c r="C338" s="149"/>
      <c r="D338" s="149"/>
      <c r="E338" s="149"/>
      <c r="F338" s="149"/>
      <c r="G338" s="149"/>
      <c r="I338" s="150" t="s">
        <v>105</v>
      </c>
      <c r="J338" s="150"/>
      <c r="K338" s="150"/>
      <c r="L338" s="150"/>
      <c r="M338" s="150"/>
      <c r="N338" s="150"/>
    </row>
    <row r="339" spans="1:14" ht="46.5" x14ac:dyDescent="0.35">
      <c r="B339" s="20" t="s">
        <v>10</v>
      </c>
      <c r="C339" s="20" t="s">
        <v>103</v>
      </c>
      <c r="I339" s="20" t="s">
        <v>10</v>
      </c>
      <c r="J339" s="20" t="s">
        <v>106</v>
      </c>
      <c r="K339" s="20" t="s">
        <v>107</v>
      </c>
      <c r="L339" s="20"/>
      <c r="M339" s="20"/>
      <c r="N339" s="20" t="s">
        <v>108</v>
      </c>
    </row>
    <row r="340" spans="1:14" x14ac:dyDescent="0.25">
      <c r="B340" s="5">
        <f>'Transmitter Data'!C380</f>
        <v>0</v>
      </c>
      <c r="C340" s="21" t="e">
        <f>IF(B340&gt;80,0.00625*B340, IF(B340&lt;2, 1/B340,0.5))</f>
        <v>#DIV/0!</v>
      </c>
      <c r="I340" s="5">
        <v>147</v>
      </c>
      <c r="J340" s="5">
        <v>10</v>
      </c>
      <c r="K340" s="5">
        <v>1</v>
      </c>
      <c r="L340" s="5"/>
      <c r="M340" s="5"/>
      <c r="N340" s="21">
        <f>IF(I340&gt;80,876*((J340*K340)^0.5)/I340,IF(I340&lt;2,5.5*I340*(J340*K340)^0.5,(10.95*(J340*K340)^0.5)))</f>
        <v>18.844593403452382</v>
      </c>
    </row>
    <row r="341" spans="1:14" x14ac:dyDescent="0.25">
      <c r="C341" s="2"/>
    </row>
    <row r="342" spans="1:14" x14ac:dyDescent="0.25">
      <c r="B342" s="149" t="s">
        <v>104</v>
      </c>
      <c r="C342" s="149"/>
      <c r="D342" s="149"/>
      <c r="E342" s="149"/>
      <c r="F342" s="149"/>
      <c r="G342" s="149"/>
      <c r="I342" s="146" t="s">
        <v>109</v>
      </c>
      <c r="J342" s="147"/>
      <c r="K342" s="147"/>
      <c r="L342" s="147"/>
      <c r="M342" s="147"/>
      <c r="N342" s="148"/>
    </row>
    <row r="343" spans="1:14" ht="46.5" x14ac:dyDescent="0.35">
      <c r="B343" s="20" t="s">
        <v>10</v>
      </c>
      <c r="C343" s="20" t="s">
        <v>103</v>
      </c>
      <c r="I343" s="20" t="s">
        <v>10</v>
      </c>
      <c r="J343" s="20" t="s">
        <v>106</v>
      </c>
      <c r="K343" s="20" t="s">
        <v>107</v>
      </c>
      <c r="L343" s="20"/>
      <c r="M343" s="20"/>
      <c r="N343" s="20" t="s">
        <v>108</v>
      </c>
    </row>
    <row r="344" spans="1:14" x14ac:dyDescent="0.25">
      <c r="B344" s="5" t="s">
        <v>181</v>
      </c>
      <c r="C344" s="21" t="e">
        <f>IF(B344&gt;80,0.025*B344, IF(B344&lt;2, 4/B344,2))</f>
        <v>#VALUE!</v>
      </c>
      <c r="I344" s="5">
        <v>147</v>
      </c>
      <c r="J344" s="5">
        <v>2</v>
      </c>
      <c r="K344" s="5">
        <v>1</v>
      </c>
      <c r="L344" s="5"/>
      <c r="M344" s="5"/>
      <c r="N344" s="21">
        <f>IF(I344&gt;80,219*((J344*K344)^0.5)/I344,IF(I344&lt;2,1.37*I344*(J344*K344)^0.5,(2.74*(J344*K344)^0.5)))</f>
        <v>2.1068895929231823</v>
      </c>
    </row>
    <row r="347" spans="1:14" x14ac:dyDescent="0.25">
      <c r="A347">
        <f>'Transmitter Data'!A389</f>
        <v>0</v>
      </c>
      <c r="B347" s="149" t="s">
        <v>102</v>
      </c>
      <c r="C347" s="149"/>
      <c r="D347" s="149"/>
      <c r="E347" s="149"/>
      <c r="F347" s="149"/>
      <c r="G347" s="149"/>
      <c r="I347" s="150" t="s">
        <v>105</v>
      </c>
      <c r="J347" s="150"/>
      <c r="K347" s="150"/>
      <c r="L347" s="150"/>
      <c r="M347" s="150"/>
      <c r="N347" s="150"/>
    </row>
    <row r="348" spans="1:14" ht="46.5" x14ac:dyDescent="0.35">
      <c r="B348" s="20" t="s">
        <v>10</v>
      </c>
      <c r="C348" s="20" t="s">
        <v>103</v>
      </c>
      <c r="I348" s="20" t="s">
        <v>10</v>
      </c>
      <c r="J348" s="20" t="s">
        <v>106</v>
      </c>
      <c r="K348" s="20" t="s">
        <v>107</v>
      </c>
      <c r="L348" s="20"/>
      <c r="M348" s="20"/>
      <c r="N348" s="20" t="s">
        <v>108</v>
      </c>
    </row>
    <row r="349" spans="1:14" x14ac:dyDescent="0.25">
      <c r="B349" s="5">
        <v>147</v>
      </c>
      <c r="C349" s="21">
        <f>IF(B349&gt;80,0.00625*B349, IF(B349&lt;2, 1/B349,0.5))</f>
        <v>0.91875000000000007</v>
      </c>
      <c r="I349" s="5">
        <v>147</v>
      </c>
      <c r="J349" s="5">
        <v>10</v>
      </c>
      <c r="K349" s="5">
        <v>1</v>
      </c>
      <c r="L349" s="5"/>
      <c r="M349" s="5"/>
      <c r="N349" s="21">
        <f>IF(I349&gt;80,876*((J349*K349)^0.5)/I349,IF(I349&lt;2,5.5*I349*(J349*K349)^0.5,(10.95*(J349*K349)^0.5)))</f>
        <v>18.844593403452382</v>
      </c>
    </row>
    <row r="350" spans="1:14" x14ac:dyDescent="0.25">
      <c r="C350" s="2"/>
    </row>
    <row r="351" spans="1:14" x14ac:dyDescent="0.25">
      <c r="B351" s="149" t="s">
        <v>104</v>
      </c>
      <c r="C351" s="149"/>
      <c r="D351" s="149"/>
      <c r="E351" s="149"/>
      <c r="F351" s="149"/>
      <c r="G351" s="149"/>
      <c r="I351" s="146" t="s">
        <v>109</v>
      </c>
      <c r="J351" s="147"/>
      <c r="K351" s="147"/>
      <c r="L351" s="147"/>
      <c r="M351" s="147"/>
      <c r="N351" s="148"/>
    </row>
    <row r="352" spans="1:14" ht="46.5" x14ac:dyDescent="0.35">
      <c r="B352" s="20" t="s">
        <v>10</v>
      </c>
      <c r="C352" s="20" t="s">
        <v>103</v>
      </c>
      <c r="I352" s="20" t="s">
        <v>10</v>
      </c>
      <c r="J352" s="20" t="s">
        <v>106</v>
      </c>
      <c r="K352" s="20" t="s">
        <v>107</v>
      </c>
      <c r="L352" s="20"/>
      <c r="M352" s="20"/>
      <c r="N352" s="20" t="s">
        <v>108</v>
      </c>
    </row>
    <row r="353" spans="1:14" x14ac:dyDescent="0.25">
      <c r="B353" s="5">
        <v>147</v>
      </c>
      <c r="C353" s="21">
        <f>IF(B353&gt;80,0.025*B353, IF(B353&lt;2, 4/B353,2))</f>
        <v>3.6750000000000003</v>
      </c>
      <c r="I353" s="5">
        <v>147</v>
      </c>
      <c r="J353" s="5">
        <v>2</v>
      </c>
      <c r="K353" s="5">
        <v>1</v>
      </c>
      <c r="L353" s="5"/>
      <c r="M353" s="5"/>
      <c r="N353" s="21">
        <f>IF(I353&gt;80,219*((J353*K353)^0.5)/I353,IF(I353&lt;2,1.37*I353*(J353*K353)^0.5,(2.74*(J353*K353)^0.5)))</f>
        <v>2.1068895929231823</v>
      </c>
    </row>
    <row r="357" spans="1:14" x14ac:dyDescent="0.25">
      <c r="A357">
        <f>'Transmitter Data'!A399</f>
        <v>0</v>
      </c>
      <c r="B357" s="149" t="s">
        <v>102</v>
      </c>
      <c r="C357" s="149"/>
      <c r="D357" s="149"/>
      <c r="E357" s="149"/>
      <c r="F357" s="149"/>
      <c r="G357" s="149"/>
      <c r="I357" s="150" t="s">
        <v>105</v>
      </c>
      <c r="J357" s="150"/>
      <c r="K357" s="150"/>
      <c r="L357" s="150"/>
      <c r="M357" s="150"/>
      <c r="N357" s="150"/>
    </row>
    <row r="358" spans="1:14" ht="46.5" x14ac:dyDescent="0.35">
      <c r="B358" s="20" t="s">
        <v>10</v>
      </c>
      <c r="C358" s="20" t="s">
        <v>103</v>
      </c>
      <c r="I358" s="20" t="s">
        <v>10</v>
      </c>
      <c r="J358" s="20" t="s">
        <v>106</v>
      </c>
      <c r="K358" s="20" t="s">
        <v>107</v>
      </c>
      <c r="L358" s="20"/>
      <c r="M358" s="20"/>
      <c r="N358" s="20" t="s">
        <v>108</v>
      </c>
    </row>
    <row r="359" spans="1:14" x14ac:dyDescent="0.25">
      <c r="B359" s="5">
        <v>147</v>
      </c>
      <c r="C359" s="21">
        <f>IF(B359&gt;80,0.00625*B359, IF(B359&lt;2, 1/B359,0.5))</f>
        <v>0.91875000000000007</v>
      </c>
      <c r="I359" s="5">
        <v>147</v>
      </c>
      <c r="J359" s="5">
        <v>10</v>
      </c>
      <c r="K359" s="5">
        <v>1</v>
      </c>
      <c r="L359" s="5"/>
      <c r="M359" s="5"/>
      <c r="N359" s="21">
        <f>IF(I359&gt;80,876*((J359*K359)^0.5)/I359,IF(I359&lt;2,5.5*I359*(J359*K359)^0.5,(10.95*(J359*K359)^0.5)))</f>
        <v>18.844593403452382</v>
      </c>
    </row>
    <row r="360" spans="1:14" x14ac:dyDescent="0.25">
      <c r="C360" s="2"/>
    </row>
    <row r="361" spans="1:14" x14ac:dyDescent="0.25">
      <c r="B361" s="149" t="s">
        <v>104</v>
      </c>
      <c r="C361" s="149"/>
      <c r="D361" s="149"/>
      <c r="E361" s="149"/>
      <c r="F361" s="149"/>
      <c r="G361" s="149"/>
      <c r="I361" s="146" t="s">
        <v>109</v>
      </c>
      <c r="J361" s="147"/>
      <c r="K361" s="147"/>
      <c r="L361" s="147"/>
      <c r="M361" s="147"/>
      <c r="N361" s="148"/>
    </row>
    <row r="362" spans="1:14" ht="46.5" x14ac:dyDescent="0.35">
      <c r="B362" s="20" t="s">
        <v>10</v>
      </c>
      <c r="C362" s="20" t="s">
        <v>103</v>
      </c>
      <c r="I362" s="20" t="s">
        <v>10</v>
      </c>
      <c r="J362" s="20" t="s">
        <v>106</v>
      </c>
      <c r="K362" s="20" t="s">
        <v>107</v>
      </c>
      <c r="L362" s="20"/>
      <c r="M362" s="20"/>
      <c r="N362" s="20" t="s">
        <v>108</v>
      </c>
    </row>
    <row r="363" spans="1:14" x14ac:dyDescent="0.25">
      <c r="B363" s="5">
        <v>147</v>
      </c>
      <c r="C363" s="21">
        <f>IF(B363&gt;80,0.025*B363, IF(B363&lt;2, 4/B363,2))</f>
        <v>3.6750000000000003</v>
      </c>
      <c r="I363" s="5">
        <v>147</v>
      </c>
      <c r="J363" s="5">
        <v>2</v>
      </c>
      <c r="K363" s="5">
        <v>1</v>
      </c>
      <c r="L363" s="5"/>
      <c r="M363" s="5"/>
      <c r="N363" s="21">
        <f>IF(I363&gt;80,219*((J363*K363)^0.5)/I363,IF(I363&lt;2,1.37*I363*(J363*K363)^0.5,(2.74*(J363*K363)^0.5)))</f>
        <v>2.1068895929231823</v>
      </c>
    </row>
  </sheetData>
  <mergeCells count="160">
    <mergeCell ref="B357:G357"/>
    <mergeCell ref="I357:N357"/>
    <mergeCell ref="B361:G361"/>
    <mergeCell ref="I361:N361"/>
    <mergeCell ref="B342:G342"/>
    <mergeCell ref="I342:N342"/>
    <mergeCell ref="B347:G347"/>
    <mergeCell ref="I347:N347"/>
    <mergeCell ref="B351:G351"/>
    <mergeCell ref="I351:N351"/>
    <mergeCell ref="B329:G329"/>
    <mergeCell ref="I329:N329"/>
    <mergeCell ref="B333:G333"/>
    <mergeCell ref="I333:N333"/>
    <mergeCell ref="B338:G338"/>
    <mergeCell ref="I338:N338"/>
    <mergeCell ref="B315:G315"/>
    <mergeCell ref="I315:N315"/>
    <mergeCell ref="B320:G320"/>
    <mergeCell ref="I320:N320"/>
    <mergeCell ref="B324:G324"/>
    <mergeCell ref="I324:N324"/>
    <mergeCell ref="B302:G302"/>
    <mergeCell ref="I302:N302"/>
    <mergeCell ref="B306:G306"/>
    <mergeCell ref="I306:N306"/>
    <mergeCell ref="B311:G311"/>
    <mergeCell ref="I311:N311"/>
    <mergeCell ref="B288:G288"/>
    <mergeCell ref="I288:N288"/>
    <mergeCell ref="B293:G293"/>
    <mergeCell ref="I293:N293"/>
    <mergeCell ref="B297:G297"/>
    <mergeCell ref="I297:N297"/>
    <mergeCell ref="B275:G275"/>
    <mergeCell ref="I275:N275"/>
    <mergeCell ref="B279:G279"/>
    <mergeCell ref="I279:N279"/>
    <mergeCell ref="B284:G284"/>
    <mergeCell ref="I284:N284"/>
    <mergeCell ref="B261:G261"/>
    <mergeCell ref="I261:N261"/>
    <mergeCell ref="B266:G266"/>
    <mergeCell ref="I266:N266"/>
    <mergeCell ref="B270:G270"/>
    <mergeCell ref="I270:N270"/>
    <mergeCell ref="B248:G248"/>
    <mergeCell ref="I248:N248"/>
    <mergeCell ref="B252:G252"/>
    <mergeCell ref="I252:N252"/>
    <mergeCell ref="B257:G257"/>
    <mergeCell ref="I257:N257"/>
    <mergeCell ref="B234:G234"/>
    <mergeCell ref="I234:N234"/>
    <mergeCell ref="B239:G239"/>
    <mergeCell ref="I239:N239"/>
    <mergeCell ref="B243:G243"/>
    <mergeCell ref="I243:N243"/>
    <mergeCell ref="B221:G221"/>
    <mergeCell ref="I221:N221"/>
    <mergeCell ref="B225:G225"/>
    <mergeCell ref="I225:N225"/>
    <mergeCell ref="B230:G230"/>
    <mergeCell ref="I230:N230"/>
    <mergeCell ref="B207:G207"/>
    <mergeCell ref="I207:N207"/>
    <mergeCell ref="B212:G212"/>
    <mergeCell ref="I212:N212"/>
    <mergeCell ref="B216:G216"/>
    <mergeCell ref="I216:N216"/>
    <mergeCell ref="B194:G194"/>
    <mergeCell ref="I194:N194"/>
    <mergeCell ref="B198:G198"/>
    <mergeCell ref="I198:N198"/>
    <mergeCell ref="B203:G203"/>
    <mergeCell ref="I203:N203"/>
    <mergeCell ref="B180:G180"/>
    <mergeCell ref="I180:N180"/>
    <mergeCell ref="B185:G185"/>
    <mergeCell ref="I185:N185"/>
    <mergeCell ref="B189:G189"/>
    <mergeCell ref="I189:N189"/>
    <mergeCell ref="B167:G167"/>
    <mergeCell ref="I167:N167"/>
    <mergeCell ref="B171:G171"/>
    <mergeCell ref="I171:N171"/>
    <mergeCell ref="B176:G176"/>
    <mergeCell ref="I176:N176"/>
    <mergeCell ref="B155:G155"/>
    <mergeCell ref="I155:N155"/>
    <mergeCell ref="B159:G159"/>
    <mergeCell ref="I159:N159"/>
    <mergeCell ref="B163:G163"/>
    <mergeCell ref="I163:N163"/>
    <mergeCell ref="B143:G143"/>
    <mergeCell ref="I143:N143"/>
    <mergeCell ref="B147:G147"/>
    <mergeCell ref="I147:N147"/>
    <mergeCell ref="B151:G151"/>
    <mergeCell ref="I151:N151"/>
    <mergeCell ref="B129:G129"/>
    <mergeCell ref="I129:N129"/>
    <mergeCell ref="B134:G134"/>
    <mergeCell ref="I134:N134"/>
    <mergeCell ref="B138:G138"/>
    <mergeCell ref="I138:N138"/>
    <mergeCell ref="B117:G117"/>
    <mergeCell ref="I117:N117"/>
    <mergeCell ref="B121:G121"/>
    <mergeCell ref="I121:N121"/>
    <mergeCell ref="B125:G125"/>
    <mergeCell ref="I125:N125"/>
    <mergeCell ref="B105:G105"/>
    <mergeCell ref="I105:N105"/>
    <mergeCell ref="B109:G109"/>
    <mergeCell ref="I109:N109"/>
    <mergeCell ref="B113:G113"/>
    <mergeCell ref="I113:N113"/>
    <mergeCell ref="B93:G93"/>
    <mergeCell ref="I93:N93"/>
    <mergeCell ref="B97:G97"/>
    <mergeCell ref="I97:N97"/>
    <mergeCell ref="B101:G101"/>
    <mergeCell ref="I101:N101"/>
    <mergeCell ref="B81:G81"/>
    <mergeCell ref="I81:N81"/>
    <mergeCell ref="B85:G85"/>
    <mergeCell ref="I85:N85"/>
    <mergeCell ref="B89:G89"/>
    <mergeCell ref="I89:N89"/>
    <mergeCell ref="B73:G73"/>
    <mergeCell ref="I73:N73"/>
    <mergeCell ref="B77:G77"/>
    <mergeCell ref="I77:N77"/>
    <mergeCell ref="B57:G57"/>
    <mergeCell ref="I57:N57"/>
    <mergeCell ref="B61:G61"/>
    <mergeCell ref="I61:N61"/>
    <mergeCell ref="B65:G65"/>
    <mergeCell ref="I65:N65"/>
    <mergeCell ref="B53:G53"/>
    <mergeCell ref="I53:N53"/>
    <mergeCell ref="B33:G33"/>
    <mergeCell ref="I33:N33"/>
    <mergeCell ref="B37:G37"/>
    <mergeCell ref="I37:N37"/>
    <mergeCell ref="B41:G41"/>
    <mergeCell ref="I41:N41"/>
    <mergeCell ref="B69:G69"/>
    <mergeCell ref="I69:N69"/>
    <mergeCell ref="I25:N25"/>
    <mergeCell ref="B25:G25"/>
    <mergeCell ref="B21:G21"/>
    <mergeCell ref="I21:N21"/>
    <mergeCell ref="B29:G29"/>
    <mergeCell ref="I29:N29"/>
    <mergeCell ref="B45:G45"/>
    <mergeCell ref="I45:N45"/>
    <mergeCell ref="B49:G49"/>
    <mergeCell ref="I49:N49"/>
  </mergeCells>
  <conditionalFormatting sqref="D7">
    <cfRule type="cellIs" dxfId="2" priority="1" operator="greaterThan">
      <formula>$D$4</formula>
    </cfRule>
    <cfRule type="cellIs" dxfId="1" priority="3" operator="greaterThan">
      <formula>$D$4</formula>
    </cfRule>
  </conditionalFormatting>
  <conditionalFormatting sqref="D4">
    <cfRule type="cellIs" dxfId="0" priority="2" operator="greaterThan">
      <formula>$D$7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"/>
  <sheetViews>
    <sheetView workbookViewId="0">
      <selection sqref="A1:B5"/>
    </sheetView>
  </sheetViews>
  <sheetFormatPr defaultRowHeight="15" x14ac:dyDescent="0.25"/>
  <cols>
    <col min="1" max="1" width="13.85546875" customWidth="1"/>
    <col min="2" max="2" width="11.42578125" customWidth="1"/>
  </cols>
  <sheetData>
    <row r="1" spans="1:2" x14ac:dyDescent="0.3">
      <c r="A1" t="s">
        <v>72</v>
      </c>
      <c r="B1" t="s">
        <v>101</v>
      </c>
    </row>
    <row r="2" spans="1:2" x14ac:dyDescent="0.3">
      <c r="A2">
        <v>0.01</v>
      </c>
      <c r="B2">
        <v>400</v>
      </c>
    </row>
    <row r="3" spans="1:2" x14ac:dyDescent="0.3">
      <c r="A3">
        <v>2</v>
      </c>
      <c r="B3">
        <v>2</v>
      </c>
    </row>
    <row r="4" spans="1:2" x14ac:dyDescent="0.3">
      <c r="A4">
        <v>80</v>
      </c>
      <c r="B4">
        <v>2</v>
      </c>
    </row>
    <row r="5" spans="1:2" x14ac:dyDescent="0.3">
      <c r="A5">
        <v>100000</v>
      </c>
      <c r="B5">
        <v>2500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25"/>
  <sheetViews>
    <sheetView zoomScaleNormal="100" workbookViewId="0">
      <selection activeCell="L9" sqref="L9"/>
    </sheetView>
  </sheetViews>
  <sheetFormatPr defaultRowHeight="15" x14ac:dyDescent="0.25"/>
  <cols>
    <col min="1" max="1" width="27.85546875" customWidth="1"/>
    <col min="2" max="2" width="19.28515625" customWidth="1"/>
    <col min="3" max="6" width="14.7109375" customWidth="1"/>
    <col min="7" max="7" width="14.140625" customWidth="1"/>
    <col min="8" max="8" width="12.7109375" customWidth="1"/>
    <col min="9" max="9" width="13.85546875" customWidth="1"/>
    <col min="13" max="13" width="14" customWidth="1"/>
  </cols>
  <sheetData>
    <row r="1" spans="1:15" s="2" customFormat="1" ht="43.15" x14ac:dyDescent="0.3">
      <c r="A1" s="2" t="s">
        <v>112</v>
      </c>
      <c r="B1" s="2" t="s">
        <v>111</v>
      </c>
      <c r="C1" s="2" t="s">
        <v>124</v>
      </c>
      <c r="D1" s="2" t="s">
        <v>139</v>
      </c>
      <c r="E1" s="23" t="s">
        <v>127</v>
      </c>
      <c r="F1" s="2" t="s">
        <v>136</v>
      </c>
      <c r="G1" s="2" t="s">
        <v>132</v>
      </c>
      <c r="H1" s="2" t="s">
        <v>113</v>
      </c>
      <c r="I1" s="2" t="s">
        <v>133</v>
      </c>
      <c r="J1" s="2" t="s">
        <v>134</v>
      </c>
      <c r="K1" s="2" t="s">
        <v>123</v>
      </c>
      <c r="L1" s="2" t="s">
        <v>135</v>
      </c>
      <c r="M1" s="2" t="s">
        <v>137</v>
      </c>
      <c r="N1" s="2" t="s">
        <v>145</v>
      </c>
    </row>
    <row r="2" spans="1:15" s="2" customFormat="1" ht="28.9" x14ac:dyDescent="0.3">
      <c r="B2" s="2" t="s">
        <v>114</v>
      </c>
      <c r="D2" s="2" t="s">
        <v>142</v>
      </c>
      <c r="E2" s="23" t="s">
        <v>143</v>
      </c>
    </row>
    <row r="3" spans="1:15" ht="28.9" x14ac:dyDescent="0.3">
      <c r="A3" s="22" t="s">
        <v>118</v>
      </c>
      <c r="B3" s="2" t="s">
        <v>117</v>
      </c>
      <c r="C3" s="2" t="s">
        <v>117</v>
      </c>
      <c r="D3" s="2" t="s">
        <v>120</v>
      </c>
      <c r="E3" s="2" t="s">
        <v>117</v>
      </c>
      <c r="F3" s="2"/>
      <c r="G3" s="2"/>
      <c r="H3" s="2"/>
      <c r="I3" s="2"/>
      <c r="J3" s="2"/>
      <c r="K3" s="2"/>
      <c r="L3" s="2" t="s">
        <v>144</v>
      </c>
      <c r="M3" s="2"/>
      <c r="N3" s="2" t="s">
        <v>146</v>
      </c>
      <c r="O3" s="2"/>
    </row>
    <row r="4" spans="1:15" ht="14.45" x14ac:dyDescent="0.3">
      <c r="A4" s="22" t="s">
        <v>119</v>
      </c>
      <c r="B4" s="2" t="s">
        <v>120</v>
      </c>
      <c r="C4" s="2" t="s">
        <v>120</v>
      </c>
      <c r="D4" s="2" t="s">
        <v>140</v>
      </c>
      <c r="E4" s="2" t="s">
        <v>120</v>
      </c>
      <c r="F4" s="2"/>
      <c r="G4" s="2"/>
      <c r="H4" s="2"/>
      <c r="I4" s="2"/>
      <c r="J4" s="2"/>
      <c r="K4" s="2"/>
      <c r="L4" s="2"/>
      <c r="M4" s="2"/>
      <c r="N4" s="2"/>
      <c r="O4" s="2"/>
    </row>
    <row r="5" spans="1:15" ht="28.9" x14ac:dyDescent="0.3">
      <c r="A5" s="2" t="s">
        <v>116</v>
      </c>
      <c r="B5" s="2" t="s">
        <v>115</v>
      </c>
      <c r="C5" s="2" t="s">
        <v>115</v>
      </c>
      <c r="D5" s="2" t="s">
        <v>141</v>
      </c>
      <c r="E5" s="2" t="s">
        <v>115</v>
      </c>
      <c r="F5" s="2"/>
      <c r="G5" s="2"/>
      <c r="H5" s="2"/>
      <c r="I5" s="2"/>
      <c r="J5" s="2"/>
      <c r="K5" s="2"/>
      <c r="L5" s="2"/>
      <c r="M5" s="2"/>
      <c r="N5" s="2"/>
      <c r="O5" s="2"/>
    </row>
    <row r="6" spans="1:15" ht="29.45" x14ac:dyDescent="0.35">
      <c r="A6" s="2" t="s">
        <v>121</v>
      </c>
      <c r="B6" s="2" t="s">
        <v>122</v>
      </c>
      <c r="C6" s="2" t="s">
        <v>126</v>
      </c>
      <c r="D6" s="2" t="s">
        <v>126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</row>
    <row r="7" spans="1:15" ht="14.45" x14ac:dyDescent="0.3">
      <c r="A7" s="23" t="s">
        <v>125</v>
      </c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</row>
    <row r="8" spans="1:15" ht="28.9" x14ac:dyDescent="0.3">
      <c r="A8" s="23" t="s">
        <v>128</v>
      </c>
      <c r="B8" s="2"/>
      <c r="C8" s="2" t="s">
        <v>129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</row>
    <row r="9" spans="1:15" ht="43.15" x14ac:dyDescent="0.3">
      <c r="A9" s="23" t="s">
        <v>130</v>
      </c>
      <c r="B9" s="2"/>
      <c r="C9" s="2" t="s">
        <v>131</v>
      </c>
      <c r="D9" s="2" t="s">
        <v>138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</row>
    <row r="10" spans="1:15" ht="14.45" x14ac:dyDescent="0.3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</row>
    <row r="11" spans="1:15" ht="14.45" x14ac:dyDescent="0.3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</row>
    <row r="12" spans="1:15" ht="14.45" x14ac:dyDescent="0.3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</row>
    <row r="13" spans="1:15" ht="14.45" x14ac:dyDescent="0.3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</row>
    <row r="14" spans="1:15" ht="14.45" x14ac:dyDescent="0.3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</row>
    <row r="15" spans="1:15" ht="14.45" x14ac:dyDescent="0.3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</row>
    <row r="16" spans="1:15" ht="14.45" x14ac:dyDescent="0.3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</row>
    <row r="17" spans="1:15" ht="14.45" x14ac:dyDescent="0.3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</row>
    <row r="18" spans="1:15" ht="14.45" x14ac:dyDescent="0.3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</row>
    <row r="19" spans="1:15" ht="14.45" x14ac:dyDescent="0.3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</row>
    <row r="20" spans="1:15" ht="14.45" x14ac:dyDescent="0.3">
      <c r="A20" s="2"/>
    </row>
    <row r="21" spans="1:15" ht="14.45" x14ac:dyDescent="0.3">
      <c r="A21" s="2"/>
    </row>
    <row r="22" spans="1:15" ht="14.45" x14ac:dyDescent="0.3">
      <c r="A22" s="2"/>
    </row>
    <row r="23" spans="1:15" ht="14.45" x14ac:dyDescent="0.3">
      <c r="A23" s="2"/>
    </row>
    <row r="24" spans="1:15" ht="14.45" x14ac:dyDescent="0.3">
      <c r="A24" s="2"/>
    </row>
    <row r="25" spans="1:15" ht="14.45" x14ac:dyDescent="0.3">
      <c r="A25" s="2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9"/>
  <sheetViews>
    <sheetView topLeftCell="A2" workbookViewId="0">
      <selection activeCell="B3" sqref="B3:B19"/>
    </sheetView>
  </sheetViews>
  <sheetFormatPr defaultRowHeight="15" x14ac:dyDescent="0.25"/>
  <cols>
    <col min="1" max="1" width="9.140625" style="1"/>
    <col min="2" max="2" width="33.42578125" bestFit="1" customWidth="1"/>
    <col min="3" max="3" width="25.7109375" bestFit="1" customWidth="1"/>
    <col min="4" max="4" width="16" bestFit="1" customWidth="1"/>
    <col min="5" max="5" width="12.5703125" bestFit="1" customWidth="1"/>
    <col min="6" max="6" width="11.85546875" bestFit="1" customWidth="1"/>
    <col min="7" max="7" width="13.42578125" customWidth="1"/>
    <col min="8" max="8" width="9.85546875" customWidth="1"/>
    <col min="9" max="9" width="15.85546875" customWidth="1"/>
    <col min="10" max="10" width="11.85546875" customWidth="1"/>
    <col min="11" max="11" width="12" customWidth="1"/>
    <col min="12" max="12" width="11.7109375" customWidth="1"/>
  </cols>
  <sheetData>
    <row r="1" spans="1:12" s="3" customFormat="1" ht="39.6" x14ac:dyDescent="0.3">
      <c r="A1" s="89" t="s">
        <v>0</v>
      </c>
      <c r="B1" s="89" t="s">
        <v>215</v>
      </c>
      <c r="C1" s="89" t="s">
        <v>199</v>
      </c>
      <c r="D1" s="90" t="s">
        <v>200</v>
      </c>
      <c r="E1" s="90" t="s">
        <v>202</v>
      </c>
      <c r="F1" s="90" t="s">
        <v>204</v>
      </c>
      <c r="G1" s="90" t="s">
        <v>205</v>
      </c>
      <c r="H1" s="90" t="s">
        <v>207</v>
      </c>
      <c r="I1" s="90" t="s">
        <v>208</v>
      </c>
      <c r="J1" s="90" t="s">
        <v>210</v>
      </c>
      <c r="K1" s="90" t="s">
        <v>211</v>
      </c>
      <c r="L1" s="90" t="s">
        <v>213</v>
      </c>
    </row>
    <row r="2" spans="1:12" s="3" customFormat="1" ht="38.25" x14ac:dyDescent="0.25">
      <c r="A2" s="89"/>
      <c r="B2" s="89"/>
      <c r="C2" s="90" t="s">
        <v>233</v>
      </c>
      <c r="D2" s="90" t="s">
        <v>201</v>
      </c>
      <c r="E2" s="90" t="s">
        <v>203</v>
      </c>
      <c r="F2" s="90" t="s">
        <v>201</v>
      </c>
      <c r="G2" s="90" t="s">
        <v>206</v>
      </c>
      <c r="H2" s="90" t="s">
        <v>201</v>
      </c>
      <c r="I2" s="90" t="s">
        <v>209</v>
      </c>
      <c r="J2" s="89"/>
      <c r="K2" s="90" t="s">
        <v>212</v>
      </c>
      <c r="L2" s="90" t="s">
        <v>214</v>
      </c>
    </row>
    <row r="3" spans="1:12" ht="14.45" x14ac:dyDescent="0.3">
      <c r="A3" s="7">
        <v>1</v>
      </c>
      <c r="B3" s="5" t="s">
        <v>216</v>
      </c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ht="14.45" x14ac:dyDescent="0.3">
      <c r="A4" s="7">
        <v>2</v>
      </c>
      <c r="B4" s="5" t="s">
        <v>217</v>
      </c>
      <c r="C4" s="5"/>
      <c r="D4" s="5"/>
      <c r="E4" s="5"/>
      <c r="F4" s="5"/>
      <c r="G4" s="5"/>
      <c r="H4" s="5"/>
      <c r="I4" s="5"/>
      <c r="J4" s="5"/>
      <c r="K4" s="5"/>
      <c r="L4" s="5"/>
    </row>
    <row r="5" spans="1:12" ht="14.45" x14ac:dyDescent="0.3">
      <c r="A5" s="7">
        <v>3</v>
      </c>
      <c r="B5" s="5" t="s">
        <v>218</v>
      </c>
      <c r="C5" s="5"/>
      <c r="D5" s="5"/>
      <c r="E5" s="5"/>
      <c r="F5" s="5"/>
      <c r="G5" s="5"/>
      <c r="H5" s="5"/>
      <c r="I5" s="5"/>
      <c r="J5" s="5"/>
      <c r="K5" s="5"/>
      <c r="L5" s="5"/>
    </row>
    <row r="6" spans="1:12" ht="14.45" x14ac:dyDescent="0.3">
      <c r="A6" s="7">
        <v>4</v>
      </c>
      <c r="B6" s="5" t="s">
        <v>219</v>
      </c>
      <c r="C6" s="5"/>
      <c r="D6" s="5"/>
      <c r="E6" s="5"/>
      <c r="F6" s="5"/>
      <c r="G6" s="5"/>
      <c r="H6" s="5"/>
      <c r="I6" s="5"/>
      <c r="J6" s="5"/>
      <c r="K6" s="5"/>
      <c r="L6" s="5"/>
    </row>
    <row r="7" spans="1:12" ht="14.45" x14ac:dyDescent="0.3">
      <c r="A7" s="7">
        <v>5</v>
      </c>
      <c r="B7" s="5" t="s">
        <v>220</v>
      </c>
      <c r="C7" s="5"/>
      <c r="D7" s="5"/>
      <c r="E7" s="5"/>
      <c r="F7" s="5"/>
      <c r="G7" s="5"/>
      <c r="H7" s="5"/>
      <c r="I7" s="5"/>
      <c r="J7" s="5"/>
      <c r="K7" s="5"/>
      <c r="L7" s="5"/>
    </row>
    <row r="8" spans="1:12" ht="14.45" x14ac:dyDescent="0.3">
      <c r="A8" s="7">
        <v>6</v>
      </c>
      <c r="B8" s="5" t="s">
        <v>221</v>
      </c>
      <c r="C8" s="5"/>
      <c r="D8" s="5"/>
      <c r="E8" s="5"/>
      <c r="F8" s="5"/>
      <c r="G8" s="5"/>
      <c r="H8" s="5"/>
      <c r="I8" s="5"/>
      <c r="J8" s="5"/>
      <c r="K8" s="5"/>
      <c r="L8" s="5"/>
    </row>
    <row r="9" spans="1:12" ht="14.45" x14ac:dyDescent="0.3">
      <c r="A9" s="7">
        <v>7</v>
      </c>
      <c r="B9" s="5" t="s">
        <v>230</v>
      </c>
      <c r="C9" s="5"/>
      <c r="D9" s="5"/>
      <c r="E9" s="5"/>
      <c r="F9" s="5"/>
      <c r="G9" s="5"/>
      <c r="H9" s="5"/>
      <c r="I9" s="5"/>
      <c r="J9" s="5"/>
      <c r="K9" s="5"/>
      <c r="L9" s="5"/>
    </row>
    <row r="10" spans="1:12" ht="14.45" x14ac:dyDescent="0.3">
      <c r="A10" s="7">
        <v>8</v>
      </c>
      <c r="B10" s="5" t="s">
        <v>231</v>
      </c>
      <c r="C10" s="5"/>
      <c r="D10" s="5"/>
      <c r="E10" s="5"/>
      <c r="F10" s="5"/>
      <c r="G10" s="5"/>
      <c r="H10" s="5"/>
      <c r="I10" s="5"/>
      <c r="J10" s="5"/>
      <c r="K10" s="5"/>
      <c r="L10" s="5"/>
    </row>
    <row r="11" spans="1:12" ht="14.45" x14ac:dyDescent="0.3">
      <c r="A11" s="7">
        <v>9</v>
      </c>
      <c r="B11" s="91" t="s">
        <v>222</v>
      </c>
      <c r="C11" s="5"/>
      <c r="D11" s="5"/>
      <c r="E11" s="5"/>
      <c r="F11" s="5"/>
      <c r="G11" s="5"/>
      <c r="H11" s="5"/>
      <c r="I11" s="5"/>
      <c r="J11" s="5"/>
      <c r="K11" s="5"/>
      <c r="L11" s="5"/>
    </row>
    <row r="12" spans="1:12" ht="14.45" x14ac:dyDescent="0.3">
      <c r="A12" s="7">
        <v>10</v>
      </c>
      <c r="B12" s="91" t="s">
        <v>223</v>
      </c>
      <c r="C12" s="5"/>
      <c r="D12" s="5"/>
      <c r="E12" s="5"/>
      <c r="F12" s="5"/>
      <c r="G12" s="5"/>
      <c r="H12" s="5"/>
      <c r="I12" s="5"/>
      <c r="J12" s="5"/>
      <c r="K12" s="5"/>
      <c r="L12" s="5"/>
    </row>
    <row r="13" spans="1:12" ht="14.45" x14ac:dyDescent="0.3">
      <c r="A13" s="7">
        <v>11</v>
      </c>
      <c r="B13" s="91" t="s">
        <v>232</v>
      </c>
      <c r="C13" s="5"/>
      <c r="D13" s="5"/>
      <c r="E13" s="5"/>
      <c r="F13" s="5"/>
      <c r="G13" s="5"/>
      <c r="H13" s="5"/>
      <c r="I13" s="5"/>
      <c r="J13" s="5"/>
      <c r="K13" s="5"/>
      <c r="L13" s="5"/>
    </row>
    <row r="14" spans="1:12" ht="14.45" x14ac:dyDescent="0.3">
      <c r="A14" s="7">
        <v>12</v>
      </c>
      <c r="B14" s="92" t="s">
        <v>224</v>
      </c>
      <c r="C14" s="5"/>
      <c r="D14" s="5"/>
      <c r="E14" s="5"/>
      <c r="F14" s="5"/>
      <c r="G14" s="5"/>
      <c r="H14" s="5"/>
      <c r="I14" s="5"/>
      <c r="J14" s="5"/>
      <c r="K14" s="5"/>
      <c r="L14" s="5"/>
    </row>
    <row r="15" spans="1:12" ht="14.45" x14ac:dyDescent="0.3">
      <c r="A15" s="7">
        <v>13</v>
      </c>
      <c r="B15" s="92" t="s">
        <v>225</v>
      </c>
      <c r="C15" s="5"/>
      <c r="D15" s="5"/>
      <c r="E15" s="5"/>
      <c r="F15" s="5"/>
      <c r="G15" s="5"/>
      <c r="H15" s="5"/>
      <c r="I15" s="5"/>
      <c r="J15" s="5"/>
      <c r="K15" s="5"/>
      <c r="L15" s="5"/>
    </row>
    <row r="16" spans="1:12" ht="14.45" x14ac:dyDescent="0.3">
      <c r="A16" s="7">
        <v>14</v>
      </c>
      <c r="B16" s="92" t="s">
        <v>226</v>
      </c>
      <c r="C16" s="5"/>
      <c r="D16" s="5"/>
      <c r="E16" s="5"/>
      <c r="F16" s="5"/>
      <c r="G16" s="5"/>
      <c r="H16" s="5"/>
      <c r="I16" s="5"/>
      <c r="J16" s="5"/>
      <c r="K16" s="5"/>
      <c r="L16" s="5"/>
    </row>
    <row r="17" spans="1:12" ht="26.45" x14ac:dyDescent="0.3">
      <c r="A17" s="7">
        <v>15</v>
      </c>
      <c r="B17" s="92" t="s">
        <v>227</v>
      </c>
      <c r="C17" s="5"/>
      <c r="D17" s="5"/>
      <c r="E17" s="5"/>
      <c r="F17" s="5"/>
      <c r="G17" s="5"/>
      <c r="H17" s="5"/>
      <c r="I17" s="5"/>
      <c r="J17" s="5"/>
      <c r="K17" s="5"/>
      <c r="L17" s="5"/>
    </row>
    <row r="18" spans="1:12" ht="26.45" x14ac:dyDescent="0.3">
      <c r="A18" s="7">
        <v>16</v>
      </c>
      <c r="B18" s="92" t="s">
        <v>228</v>
      </c>
      <c r="C18" s="5"/>
      <c r="D18" s="5"/>
      <c r="E18" s="5"/>
      <c r="F18" s="5"/>
      <c r="G18" s="5"/>
      <c r="H18" s="5"/>
      <c r="I18" s="5"/>
      <c r="J18" s="5"/>
      <c r="K18" s="5"/>
      <c r="L18" s="5"/>
    </row>
    <row r="19" spans="1:12" ht="14.45" x14ac:dyDescent="0.3">
      <c r="A19" s="7">
        <v>17</v>
      </c>
      <c r="B19" s="93" t="s">
        <v>229</v>
      </c>
      <c r="C19" s="5"/>
      <c r="D19" s="5"/>
      <c r="E19" s="5"/>
      <c r="F19" s="5"/>
      <c r="G19" s="5"/>
      <c r="H19" s="5"/>
      <c r="I19" s="5"/>
      <c r="J19" s="5"/>
      <c r="K19" s="5"/>
      <c r="L19" s="5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40"/>
  <sheetViews>
    <sheetView workbookViewId="0">
      <selection activeCell="I2" sqref="I2"/>
    </sheetView>
  </sheetViews>
  <sheetFormatPr defaultColWidth="11.42578125" defaultRowHeight="15" x14ac:dyDescent="0.25"/>
  <cols>
    <col min="1" max="1" width="23.28515625" customWidth="1"/>
    <col min="6" max="6" width="13.140625" customWidth="1"/>
    <col min="7" max="7" width="16.28515625" customWidth="1"/>
    <col min="8" max="8" width="13.28515625" customWidth="1"/>
    <col min="9" max="9" width="12.7109375" customWidth="1"/>
  </cols>
  <sheetData>
    <row r="1" spans="1:9" ht="29.45" thickBot="1" x14ac:dyDescent="0.35">
      <c r="A1" s="2" t="s">
        <v>149</v>
      </c>
      <c r="B1" s="2"/>
      <c r="C1" s="27" t="s">
        <v>150</v>
      </c>
      <c r="D1" s="28" t="s">
        <v>151</v>
      </c>
      <c r="E1" s="28" t="s">
        <v>147</v>
      </c>
      <c r="F1" s="28" t="s">
        <v>152</v>
      </c>
      <c r="G1" s="28" t="s">
        <v>153</v>
      </c>
      <c r="H1" s="28" t="s">
        <v>72</v>
      </c>
      <c r="I1" s="29" t="s">
        <v>96</v>
      </c>
    </row>
    <row r="2" spans="1:9" ht="43.15" x14ac:dyDescent="0.3">
      <c r="A2" s="2" t="s">
        <v>154</v>
      </c>
      <c r="B2" s="2"/>
      <c r="C2" s="30">
        <f t="shared" ref="C2:C8" si="0">ROUNDUP(IF(((SQRT(30*E2*10^(G2/10))/F2))&gt;I2,(SQRT(30*E2*10^(G2/10))/F2),2*(SQRT(30*E2*10^(G2/10))/F2)),0)</f>
        <v>1</v>
      </c>
      <c r="D2" s="31">
        <f t="shared" ref="D2:D10" si="1">SQRT(30*E2*10^(G2/10))/F2</f>
        <v>0.35481338923357547</v>
      </c>
      <c r="E2" s="32">
        <v>3</v>
      </c>
      <c r="F2" s="32">
        <v>30</v>
      </c>
      <c r="G2" s="32">
        <v>1</v>
      </c>
      <c r="H2" s="32">
        <v>161</v>
      </c>
      <c r="I2" s="33">
        <f t="shared" ref="I2:I10" si="2">300/H2</f>
        <v>1.8633540372670807</v>
      </c>
    </row>
    <row r="3" spans="1:9" ht="14.45" x14ac:dyDescent="0.3">
      <c r="A3" s="2"/>
      <c r="B3" s="2"/>
      <c r="C3" s="34">
        <f t="shared" si="0"/>
        <v>1</v>
      </c>
      <c r="D3" s="31">
        <f t="shared" si="1"/>
        <v>0.35481338923357547</v>
      </c>
      <c r="E3" s="32">
        <v>3</v>
      </c>
      <c r="F3" s="32">
        <v>30</v>
      </c>
      <c r="G3" s="32">
        <v>1</v>
      </c>
      <c r="H3" s="32">
        <v>463</v>
      </c>
      <c r="I3" s="33">
        <f t="shared" si="2"/>
        <v>0.64794816414686829</v>
      </c>
    </row>
    <row r="4" spans="1:9" ht="14.45" x14ac:dyDescent="0.3">
      <c r="A4" s="2"/>
      <c r="B4" s="2"/>
      <c r="C4" s="34">
        <f t="shared" si="0"/>
        <v>1</v>
      </c>
      <c r="D4" s="31">
        <f t="shared" si="1"/>
        <v>0.45806211583768258</v>
      </c>
      <c r="E4" s="32">
        <v>5</v>
      </c>
      <c r="F4" s="32">
        <v>30</v>
      </c>
      <c r="G4" s="32">
        <v>1</v>
      </c>
      <c r="H4" s="32">
        <v>460</v>
      </c>
      <c r="I4" s="33">
        <f t="shared" si="2"/>
        <v>0.65217391304347827</v>
      </c>
    </row>
    <row r="5" spans="1:9" ht="14.45" x14ac:dyDescent="0.3">
      <c r="A5" s="2"/>
      <c r="B5" s="2"/>
      <c r="C5" s="34">
        <f t="shared" si="0"/>
        <v>1</v>
      </c>
      <c r="D5" s="31">
        <f t="shared" si="1"/>
        <v>0.28970391917659283</v>
      </c>
      <c r="E5" s="32">
        <v>2</v>
      </c>
      <c r="F5" s="32">
        <v>30</v>
      </c>
      <c r="G5" s="32">
        <v>1</v>
      </c>
      <c r="H5" s="32">
        <v>900</v>
      </c>
      <c r="I5" s="33">
        <f t="shared" si="2"/>
        <v>0.33333333333333331</v>
      </c>
    </row>
    <row r="6" spans="1:9" ht="14.45" x14ac:dyDescent="0.3">
      <c r="A6" s="2"/>
      <c r="B6" s="2"/>
      <c r="C6" s="34">
        <f t="shared" si="0"/>
        <v>1</v>
      </c>
      <c r="D6" s="31">
        <f t="shared" si="1"/>
        <v>0.28970391917659283</v>
      </c>
      <c r="E6" s="32">
        <v>2</v>
      </c>
      <c r="F6" s="32">
        <v>30</v>
      </c>
      <c r="G6" s="32">
        <v>1</v>
      </c>
      <c r="H6" s="32">
        <v>2100</v>
      </c>
      <c r="I6" s="33">
        <f t="shared" si="2"/>
        <v>0.14285714285714285</v>
      </c>
    </row>
    <row r="7" spans="1:9" ht="14.45" x14ac:dyDescent="0.3">
      <c r="A7" s="2"/>
      <c r="B7" s="2"/>
      <c r="C7" s="34">
        <f t="shared" si="0"/>
        <v>1</v>
      </c>
      <c r="D7" s="31">
        <f t="shared" si="1"/>
        <v>0.79338685765336681</v>
      </c>
      <c r="E7" s="32">
        <v>15</v>
      </c>
      <c r="F7" s="32">
        <v>30</v>
      </c>
      <c r="G7" s="32">
        <v>1</v>
      </c>
      <c r="H7" s="32">
        <v>463</v>
      </c>
      <c r="I7" s="33">
        <f t="shared" si="2"/>
        <v>0.64794816414686829</v>
      </c>
    </row>
    <row r="8" spans="1:9" ht="14.45" x14ac:dyDescent="0.3">
      <c r="A8" s="2"/>
      <c r="B8" s="2"/>
      <c r="C8" s="34">
        <f t="shared" si="0"/>
        <v>3</v>
      </c>
      <c r="D8" s="31">
        <f t="shared" si="1"/>
        <v>1.1220184543019633</v>
      </c>
      <c r="E8" s="32">
        <v>30</v>
      </c>
      <c r="F8" s="32">
        <v>30</v>
      </c>
      <c r="G8" s="32">
        <v>1</v>
      </c>
      <c r="H8" s="32">
        <v>161</v>
      </c>
      <c r="I8" s="33">
        <f t="shared" si="2"/>
        <v>1.8633540372670807</v>
      </c>
    </row>
    <row r="9" spans="1:9" ht="14.45" x14ac:dyDescent="0.3">
      <c r="A9" s="2"/>
      <c r="B9" s="2"/>
      <c r="C9" s="34">
        <f>ROUNDUP(IF(((SQRT(30*E9*10^(G9/10))/F9))&gt;I9,(SQRT(30*E9*10^(G9/10))/F9),2*(SQRT(30*E9*10^(G9/10))/F9)),1)</f>
        <v>0.2</v>
      </c>
      <c r="D9" s="31">
        <f t="shared" si="1"/>
        <v>6.4779765662696637E-2</v>
      </c>
      <c r="E9" s="32">
        <v>0.1</v>
      </c>
      <c r="F9" s="32">
        <v>30</v>
      </c>
      <c r="G9" s="32">
        <v>1</v>
      </c>
      <c r="H9" s="32">
        <v>2400</v>
      </c>
      <c r="I9" s="33">
        <f t="shared" si="2"/>
        <v>0.125</v>
      </c>
    </row>
    <row r="10" spans="1:9" ht="14.45" x14ac:dyDescent="0.3">
      <c r="A10" s="2"/>
      <c r="B10" s="2"/>
      <c r="C10" s="34">
        <f>ROUNDUP(IF(((SQRT(30*E10*10^(G10/10))/F10))&gt;I10,(SQRT(30*E10*10^(G10/10))/F10),2*(SQRT(30*E10*10^(G10/10))/F10)),1)</f>
        <v>0.1</v>
      </c>
      <c r="D10" s="31">
        <f t="shared" si="1"/>
        <v>2.0485160578608826E-2</v>
      </c>
      <c r="E10" s="32">
        <v>0.01</v>
      </c>
      <c r="F10" s="32">
        <v>30</v>
      </c>
      <c r="G10" s="32">
        <v>1</v>
      </c>
      <c r="H10" s="32">
        <v>2400</v>
      </c>
      <c r="I10" s="33">
        <f t="shared" si="2"/>
        <v>0.125</v>
      </c>
    </row>
    <row r="11" spans="1:9" thickBot="1" x14ac:dyDescent="0.35">
      <c r="A11" s="2"/>
      <c r="B11" s="2"/>
      <c r="C11" s="34"/>
      <c r="D11" s="31"/>
      <c r="E11" s="32"/>
      <c r="F11" s="32"/>
      <c r="G11" s="32"/>
      <c r="H11" s="32"/>
      <c r="I11" s="33"/>
    </row>
    <row r="12" spans="1:9" ht="14.45" x14ac:dyDescent="0.3">
      <c r="A12" s="2"/>
      <c r="B12" s="2"/>
      <c r="C12" s="30">
        <f t="shared" ref="C12:C18" si="3">ROUNDUP(IF(((SQRT(30*E12*10^(G12/10))/F12))&gt;I12,(SQRT(30*E12*10^(G12/10))/F12),2*(SQRT(30*E12*10^(G12/10))/F12)),0)</f>
        <v>3</v>
      </c>
      <c r="D12" s="35">
        <f t="shared" ref="D12:D20" si="4">SQRT(30*E12*10^(G12/10))/F12</f>
        <v>1.0644401677007265</v>
      </c>
      <c r="E12" s="36">
        <v>3</v>
      </c>
      <c r="F12" s="36">
        <v>10</v>
      </c>
      <c r="G12" s="36">
        <v>1</v>
      </c>
      <c r="H12" s="36">
        <v>161</v>
      </c>
      <c r="I12" s="37">
        <f t="shared" ref="I12:I20" si="5">300/H12</f>
        <v>1.8633540372670807</v>
      </c>
    </row>
    <row r="13" spans="1:9" ht="14.45" x14ac:dyDescent="0.3">
      <c r="A13" s="2"/>
      <c r="B13" s="2"/>
      <c r="C13" s="34">
        <f t="shared" si="3"/>
        <v>2</v>
      </c>
      <c r="D13" s="31">
        <f t="shared" si="4"/>
        <v>1.0644401677007265</v>
      </c>
      <c r="E13" s="32">
        <v>3</v>
      </c>
      <c r="F13" s="32">
        <v>10</v>
      </c>
      <c r="G13" s="32">
        <v>1</v>
      </c>
      <c r="H13" s="32">
        <v>463</v>
      </c>
      <c r="I13" s="33">
        <f t="shared" si="5"/>
        <v>0.64794816414686829</v>
      </c>
    </row>
    <row r="14" spans="1:9" ht="14.45" x14ac:dyDescent="0.3">
      <c r="A14" s="2"/>
      <c r="B14" s="2"/>
      <c r="C14" s="34">
        <f t="shared" si="3"/>
        <v>2</v>
      </c>
      <c r="D14" s="31">
        <f t="shared" si="4"/>
        <v>1.3741863475130478</v>
      </c>
      <c r="E14" s="32">
        <v>5</v>
      </c>
      <c r="F14" s="32">
        <v>10</v>
      </c>
      <c r="G14" s="32">
        <v>1</v>
      </c>
      <c r="H14" s="32">
        <v>460</v>
      </c>
      <c r="I14" s="33">
        <f t="shared" si="5"/>
        <v>0.65217391304347827</v>
      </c>
    </row>
    <row r="15" spans="1:9" ht="14.45" x14ac:dyDescent="0.3">
      <c r="A15" s="2"/>
      <c r="B15" s="2"/>
      <c r="C15" s="34">
        <f t="shared" si="3"/>
        <v>1</v>
      </c>
      <c r="D15" s="31">
        <f t="shared" si="4"/>
        <v>0.86911175752977843</v>
      </c>
      <c r="E15" s="32">
        <v>2</v>
      </c>
      <c r="F15" s="32">
        <v>10</v>
      </c>
      <c r="G15" s="32">
        <v>1</v>
      </c>
      <c r="H15" s="32">
        <v>900</v>
      </c>
      <c r="I15" s="33">
        <f t="shared" si="5"/>
        <v>0.33333333333333331</v>
      </c>
    </row>
    <row r="16" spans="1:9" ht="14.45" x14ac:dyDescent="0.3">
      <c r="A16" s="2"/>
      <c r="B16" s="2"/>
      <c r="C16" s="34">
        <f t="shared" si="3"/>
        <v>1</v>
      </c>
      <c r="D16" s="31">
        <f t="shared" si="4"/>
        <v>0.86911175752977843</v>
      </c>
      <c r="E16" s="32">
        <v>2</v>
      </c>
      <c r="F16" s="32">
        <v>10</v>
      </c>
      <c r="G16" s="32">
        <v>1</v>
      </c>
      <c r="H16" s="32">
        <v>2100</v>
      </c>
      <c r="I16" s="33">
        <f t="shared" si="5"/>
        <v>0.14285714285714285</v>
      </c>
    </row>
    <row r="17" spans="1:9" ht="14.45" x14ac:dyDescent="0.3">
      <c r="A17" s="2"/>
      <c r="B17" s="2"/>
      <c r="C17" s="34">
        <f t="shared" si="3"/>
        <v>3</v>
      </c>
      <c r="D17" s="31">
        <f t="shared" si="4"/>
        <v>2.3801605729601003</v>
      </c>
      <c r="E17" s="32">
        <v>15</v>
      </c>
      <c r="F17" s="32">
        <v>10</v>
      </c>
      <c r="G17" s="32">
        <v>1</v>
      </c>
      <c r="H17" s="32">
        <v>463</v>
      </c>
      <c r="I17" s="33">
        <f t="shared" si="5"/>
        <v>0.64794816414686829</v>
      </c>
    </row>
    <row r="18" spans="1:9" ht="14.45" x14ac:dyDescent="0.3">
      <c r="A18" s="2"/>
      <c r="B18" s="2"/>
      <c r="C18" s="34">
        <f t="shared" si="3"/>
        <v>4</v>
      </c>
      <c r="D18" s="31">
        <f t="shared" si="4"/>
        <v>3.3660553629058905</v>
      </c>
      <c r="E18" s="32">
        <v>30</v>
      </c>
      <c r="F18" s="32">
        <v>10</v>
      </c>
      <c r="G18" s="32">
        <v>1</v>
      </c>
      <c r="H18" s="32">
        <v>161</v>
      </c>
      <c r="I18" s="33">
        <f t="shared" si="5"/>
        <v>1.8633540372670807</v>
      </c>
    </row>
    <row r="19" spans="1:9" ht="14.45" x14ac:dyDescent="0.3">
      <c r="A19" s="2"/>
      <c r="B19" s="2"/>
      <c r="C19" s="34">
        <f>ROUNDUP(IF(((SQRT(30*E19*10^(G19/10))/F19))&gt;I19,(SQRT(30*E19*10^(G19/10))/F19),2*(SQRT(30*E19*10^(G19/10))/F19)),1)</f>
        <v>0.2</v>
      </c>
      <c r="D19" s="31">
        <f t="shared" si="4"/>
        <v>0.19433929698808991</v>
      </c>
      <c r="E19" s="32">
        <v>0.1</v>
      </c>
      <c r="F19" s="32">
        <v>10</v>
      </c>
      <c r="G19" s="32">
        <v>1</v>
      </c>
      <c r="H19" s="32">
        <v>2400</v>
      </c>
      <c r="I19" s="33">
        <f t="shared" si="5"/>
        <v>0.125</v>
      </c>
    </row>
    <row r="20" spans="1:9" thickBot="1" x14ac:dyDescent="0.35">
      <c r="A20" s="2"/>
      <c r="B20" s="2"/>
      <c r="C20" s="38">
        <f>ROUNDUP(IF(((SQRT(30*E20*10^(G20/10))/F20))&gt;I20,(SQRT(30*E20*10^(G20/10))/F20),2*(SQRT(30*E20*10^(G20/10))/F20)),1)</f>
        <v>0.2</v>
      </c>
      <c r="D20" s="39">
        <f t="shared" si="4"/>
        <v>6.1455481735826475E-2</v>
      </c>
      <c r="E20" s="40">
        <v>0.01</v>
      </c>
      <c r="F20" s="40">
        <v>10</v>
      </c>
      <c r="G20" s="40">
        <v>1</v>
      </c>
      <c r="H20" s="40">
        <v>2400</v>
      </c>
      <c r="I20" s="41">
        <f t="shared" si="5"/>
        <v>0.125</v>
      </c>
    </row>
    <row r="21" spans="1:9" thickBot="1" x14ac:dyDescent="0.35">
      <c r="A21" s="2"/>
      <c r="B21" s="2"/>
      <c r="C21" s="34"/>
      <c r="D21" s="31"/>
      <c r="E21" s="32"/>
      <c r="F21" s="32"/>
      <c r="G21" s="32"/>
      <c r="H21" s="32"/>
      <c r="I21" s="33"/>
    </row>
    <row r="22" spans="1:9" ht="14.45" x14ac:dyDescent="0.3">
      <c r="A22" s="2"/>
      <c r="B22" s="2"/>
      <c r="C22" s="30">
        <f t="shared" ref="C22:C28" si="6">ROUNDUP(IF(((SQRT(30*E22*10^(G22/10))/F22))&gt;I22,(SQRT(30*E22*10^(G22/10))/F22),2*(SQRT(30*E22*10^(G22/10))/F22)),0)</f>
        <v>4</v>
      </c>
      <c r="D22" s="35">
        <f t="shared" ref="D22:D30" si="7">SQRT(30*E22*10^(G22/10))/F22</f>
        <v>3.548133892335755</v>
      </c>
      <c r="E22" s="36">
        <v>3</v>
      </c>
      <c r="F22" s="36">
        <v>3</v>
      </c>
      <c r="G22" s="36">
        <v>1</v>
      </c>
      <c r="H22" s="36">
        <v>161</v>
      </c>
      <c r="I22" s="37">
        <f t="shared" ref="I22:I30" si="8">300/H22</f>
        <v>1.8633540372670807</v>
      </c>
    </row>
    <row r="23" spans="1:9" ht="14.45" x14ac:dyDescent="0.3">
      <c r="A23" s="2"/>
      <c r="B23" s="2"/>
      <c r="C23" s="34">
        <f t="shared" si="6"/>
        <v>4</v>
      </c>
      <c r="D23" s="31">
        <f t="shared" si="7"/>
        <v>3.548133892335755</v>
      </c>
      <c r="E23" s="32">
        <v>3</v>
      </c>
      <c r="F23" s="32">
        <v>3</v>
      </c>
      <c r="G23" s="32">
        <v>1</v>
      </c>
      <c r="H23" s="32">
        <v>463</v>
      </c>
      <c r="I23" s="33">
        <f t="shared" si="8"/>
        <v>0.64794816414686829</v>
      </c>
    </row>
    <row r="24" spans="1:9" ht="14.45" x14ac:dyDescent="0.3">
      <c r="A24" s="2"/>
      <c r="B24" s="2"/>
      <c r="C24" s="34">
        <f t="shared" si="6"/>
        <v>5</v>
      </c>
      <c r="D24" s="31">
        <f t="shared" si="7"/>
        <v>4.5806211583768262</v>
      </c>
      <c r="E24" s="32">
        <v>5</v>
      </c>
      <c r="F24" s="32">
        <v>3</v>
      </c>
      <c r="G24" s="32">
        <v>1</v>
      </c>
      <c r="H24" s="32">
        <v>460</v>
      </c>
      <c r="I24" s="33">
        <f t="shared" si="8"/>
        <v>0.65217391304347827</v>
      </c>
    </row>
    <row r="25" spans="1:9" ht="14.45" x14ac:dyDescent="0.3">
      <c r="A25" s="2"/>
      <c r="B25" s="2"/>
      <c r="C25" s="34">
        <f t="shared" si="6"/>
        <v>3</v>
      </c>
      <c r="D25" s="31">
        <f t="shared" si="7"/>
        <v>2.8970391917659284</v>
      </c>
      <c r="E25" s="32">
        <v>2</v>
      </c>
      <c r="F25" s="32">
        <v>3</v>
      </c>
      <c r="G25" s="32">
        <v>1</v>
      </c>
      <c r="H25" s="32">
        <v>900</v>
      </c>
      <c r="I25" s="33">
        <f t="shared" si="8"/>
        <v>0.33333333333333331</v>
      </c>
    </row>
    <row r="26" spans="1:9" ht="14.45" x14ac:dyDescent="0.3">
      <c r="A26" s="2"/>
      <c r="B26" s="2"/>
      <c r="C26" s="34">
        <f t="shared" si="6"/>
        <v>3</v>
      </c>
      <c r="D26" s="31">
        <f t="shared" si="7"/>
        <v>2.8970391917659284</v>
      </c>
      <c r="E26" s="32">
        <v>2</v>
      </c>
      <c r="F26" s="32">
        <v>3</v>
      </c>
      <c r="G26" s="32">
        <v>1</v>
      </c>
      <c r="H26" s="32">
        <v>2100</v>
      </c>
      <c r="I26" s="33">
        <f t="shared" si="8"/>
        <v>0.14285714285714285</v>
      </c>
    </row>
    <row r="27" spans="1:9" ht="14.45" x14ac:dyDescent="0.3">
      <c r="A27" s="2"/>
      <c r="B27" s="2"/>
      <c r="C27" s="34">
        <f t="shared" si="6"/>
        <v>8</v>
      </c>
      <c r="D27" s="31">
        <f t="shared" si="7"/>
        <v>7.9338685765336683</v>
      </c>
      <c r="E27" s="32">
        <v>15</v>
      </c>
      <c r="F27" s="32">
        <v>3</v>
      </c>
      <c r="G27" s="32">
        <v>1</v>
      </c>
      <c r="H27" s="32">
        <v>463</v>
      </c>
      <c r="I27" s="33">
        <f t="shared" si="8"/>
        <v>0.64794816414686829</v>
      </c>
    </row>
    <row r="28" spans="1:9" ht="14.45" x14ac:dyDescent="0.3">
      <c r="A28" s="2"/>
      <c r="B28" s="2"/>
      <c r="C28" s="34">
        <f t="shared" si="6"/>
        <v>12</v>
      </c>
      <c r="D28" s="31">
        <f t="shared" si="7"/>
        <v>11.220184543019634</v>
      </c>
      <c r="E28" s="32">
        <v>30</v>
      </c>
      <c r="F28" s="32">
        <v>3</v>
      </c>
      <c r="G28" s="32">
        <v>1</v>
      </c>
      <c r="H28" s="32">
        <v>161</v>
      </c>
      <c r="I28" s="33">
        <f t="shared" si="8"/>
        <v>1.8633540372670807</v>
      </c>
    </row>
    <row r="29" spans="1:9" ht="14.45" x14ac:dyDescent="0.3">
      <c r="A29" s="2"/>
      <c r="B29" s="2"/>
      <c r="C29" s="34">
        <f>ROUNDUP(IF(((SQRT(30*E29*10^(G29/10))/F29))&gt;I29,(SQRT(30*E29*10^(G29/10))/F29),2*(SQRT(30*E29*10^(G29/10))/F29)),1)</f>
        <v>0.7</v>
      </c>
      <c r="D29" s="31">
        <f t="shared" si="7"/>
        <v>0.64779765662696642</v>
      </c>
      <c r="E29" s="32">
        <v>0.1</v>
      </c>
      <c r="F29" s="32">
        <v>3</v>
      </c>
      <c r="G29" s="32">
        <v>1</v>
      </c>
      <c r="H29" s="32">
        <v>2400</v>
      </c>
      <c r="I29" s="33">
        <f t="shared" si="8"/>
        <v>0.125</v>
      </c>
    </row>
    <row r="30" spans="1:9" thickBot="1" x14ac:dyDescent="0.35">
      <c r="A30" s="2"/>
      <c r="B30" s="2"/>
      <c r="C30" s="38">
        <f>ROUNDUP(IF(((SQRT(30*E30*10^(G30/10))/F30))&gt;I30,(SQRT(30*E30*10^(G30/10))/F30),2*(SQRT(30*E30*10^(G30/10))/F30)),1)</f>
        <v>0.30000000000000004</v>
      </c>
      <c r="D30" s="39">
        <f t="shared" si="7"/>
        <v>0.20485160578608827</v>
      </c>
      <c r="E30" s="40">
        <v>0.01</v>
      </c>
      <c r="F30" s="40">
        <v>3</v>
      </c>
      <c r="G30" s="40">
        <v>1</v>
      </c>
      <c r="H30" s="40">
        <v>2400</v>
      </c>
      <c r="I30" s="41">
        <f t="shared" si="8"/>
        <v>0.125</v>
      </c>
    </row>
    <row r="31" spans="1:9" ht="14.45" x14ac:dyDescent="0.3">
      <c r="A31" s="2"/>
      <c r="B31" s="2"/>
      <c r="C31" s="34"/>
      <c r="D31" s="31"/>
      <c r="E31" s="32"/>
      <c r="F31" s="32"/>
      <c r="G31" s="32"/>
      <c r="H31" s="32"/>
      <c r="I31" s="33"/>
    </row>
    <row r="32" spans="1:9" ht="14.45" x14ac:dyDescent="0.3">
      <c r="A32" s="2"/>
      <c r="B32" s="2"/>
      <c r="C32" s="34">
        <f t="shared" ref="C32:C38" si="9">ROUNDUP(IF(((SQRT(30*E32*10^(G32/10))/F32))&gt;I32,(SQRT(30*E32*10^(G32/10))/F32),2*(SQRT(30*E32*10^(G32/10))/F32)),0)</f>
        <v>11</v>
      </c>
      <c r="D32" s="31">
        <f t="shared" ref="D32:D40" si="10">SQRT(30*E32*10^(G32/10))/F32</f>
        <v>10.644401677007265</v>
      </c>
      <c r="E32" s="32">
        <v>3</v>
      </c>
      <c r="F32" s="32">
        <v>1</v>
      </c>
      <c r="G32" s="32">
        <v>1</v>
      </c>
      <c r="H32" s="32">
        <v>161</v>
      </c>
      <c r="I32" s="33">
        <f t="shared" ref="I32:I40" si="11">300/H32</f>
        <v>1.8633540372670807</v>
      </c>
    </row>
    <row r="33" spans="1:9" ht="14.45" x14ac:dyDescent="0.3">
      <c r="A33" s="2"/>
      <c r="B33" s="2"/>
      <c r="C33" s="34">
        <f t="shared" si="9"/>
        <v>11</v>
      </c>
      <c r="D33" s="31">
        <f t="shared" si="10"/>
        <v>10.644401677007265</v>
      </c>
      <c r="E33" s="32">
        <v>3</v>
      </c>
      <c r="F33" s="32">
        <v>1</v>
      </c>
      <c r="G33" s="32">
        <v>1</v>
      </c>
      <c r="H33" s="32">
        <v>463</v>
      </c>
      <c r="I33" s="33">
        <f t="shared" si="11"/>
        <v>0.64794816414686829</v>
      </c>
    </row>
    <row r="34" spans="1:9" x14ac:dyDescent="0.25">
      <c r="A34" s="2"/>
      <c r="B34" s="2"/>
      <c r="C34" s="34">
        <f t="shared" si="9"/>
        <v>14</v>
      </c>
      <c r="D34" s="31">
        <f t="shared" si="10"/>
        <v>13.741863475130478</v>
      </c>
      <c r="E34" s="32">
        <v>5</v>
      </c>
      <c r="F34" s="32">
        <v>1</v>
      </c>
      <c r="G34" s="32">
        <v>1</v>
      </c>
      <c r="H34" s="32">
        <v>460</v>
      </c>
      <c r="I34" s="33">
        <f t="shared" si="11"/>
        <v>0.65217391304347827</v>
      </c>
    </row>
    <row r="35" spans="1:9" x14ac:dyDescent="0.25">
      <c r="A35" s="2"/>
      <c r="B35" s="2"/>
      <c r="C35" s="34">
        <f t="shared" si="9"/>
        <v>9</v>
      </c>
      <c r="D35" s="31">
        <f t="shared" si="10"/>
        <v>8.6911175752977847</v>
      </c>
      <c r="E35" s="32">
        <v>2</v>
      </c>
      <c r="F35" s="32">
        <v>1</v>
      </c>
      <c r="G35" s="32">
        <v>1</v>
      </c>
      <c r="H35" s="32">
        <v>900</v>
      </c>
      <c r="I35" s="33">
        <f t="shared" si="11"/>
        <v>0.33333333333333331</v>
      </c>
    </row>
    <row r="36" spans="1:9" x14ac:dyDescent="0.25">
      <c r="A36" s="2"/>
      <c r="B36" s="2"/>
      <c r="C36" s="34">
        <f t="shared" si="9"/>
        <v>9</v>
      </c>
      <c r="D36" s="31">
        <f t="shared" si="10"/>
        <v>8.6911175752977847</v>
      </c>
      <c r="E36" s="32">
        <v>2</v>
      </c>
      <c r="F36" s="32">
        <v>1</v>
      </c>
      <c r="G36" s="32">
        <v>1</v>
      </c>
      <c r="H36" s="32">
        <v>2100</v>
      </c>
      <c r="I36" s="33">
        <f t="shared" si="11"/>
        <v>0.14285714285714285</v>
      </c>
    </row>
    <row r="37" spans="1:9" x14ac:dyDescent="0.25">
      <c r="A37" s="2"/>
      <c r="B37" s="2"/>
      <c r="C37" s="34">
        <f t="shared" si="9"/>
        <v>24</v>
      </c>
      <c r="D37" s="31">
        <f t="shared" si="10"/>
        <v>23.801605729601004</v>
      </c>
      <c r="E37" s="32">
        <v>15</v>
      </c>
      <c r="F37" s="32">
        <v>1</v>
      </c>
      <c r="G37" s="32">
        <v>1</v>
      </c>
      <c r="H37" s="32">
        <v>463</v>
      </c>
      <c r="I37" s="33">
        <f t="shared" si="11"/>
        <v>0.64794816414686829</v>
      </c>
    </row>
    <row r="38" spans="1:9" x14ac:dyDescent="0.25">
      <c r="A38" s="2"/>
      <c r="B38" s="2"/>
      <c r="C38" s="34">
        <f t="shared" si="9"/>
        <v>34</v>
      </c>
      <c r="D38" s="31">
        <f t="shared" si="10"/>
        <v>33.660553629058903</v>
      </c>
      <c r="E38" s="32">
        <v>30</v>
      </c>
      <c r="F38" s="32">
        <v>1</v>
      </c>
      <c r="G38" s="32">
        <v>1</v>
      </c>
      <c r="H38" s="32">
        <v>161</v>
      </c>
      <c r="I38" s="33">
        <f t="shared" si="11"/>
        <v>1.8633540372670807</v>
      </c>
    </row>
    <row r="39" spans="1:9" x14ac:dyDescent="0.25">
      <c r="A39" s="2"/>
      <c r="B39" s="2"/>
      <c r="C39" s="34">
        <f>ROUNDUP(IF(((SQRT(30*E39*10^(G39/10))/F39))&gt;I39,(SQRT(30*E39*10^(G39/10))/F39),2*(SQRT(30*E39*10^(G39/10))/F39)),1)</f>
        <v>2</v>
      </c>
      <c r="D39" s="31">
        <f t="shared" si="10"/>
        <v>1.9433929698808992</v>
      </c>
      <c r="E39" s="32">
        <v>0.1</v>
      </c>
      <c r="F39" s="32">
        <v>1</v>
      </c>
      <c r="G39" s="32">
        <v>1</v>
      </c>
      <c r="H39" s="32">
        <v>2400</v>
      </c>
      <c r="I39" s="33">
        <f t="shared" si="11"/>
        <v>0.125</v>
      </c>
    </row>
    <row r="40" spans="1:9" ht="15.75" thickBot="1" x14ac:dyDescent="0.3">
      <c r="A40" s="2"/>
      <c r="B40" s="2"/>
      <c r="C40" s="38">
        <f>ROUNDUP(IF(((SQRT(30*E40*10^(G40/10))/F40))&gt;I40,(SQRT(30*E40*10^(G40/10))/F40),2*(SQRT(30*E40*10^(G40/10))/F40)),1)</f>
        <v>0.7</v>
      </c>
      <c r="D40" s="39">
        <f t="shared" si="10"/>
        <v>0.61455481735826478</v>
      </c>
      <c r="E40" s="40">
        <v>0.01</v>
      </c>
      <c r="F40" s="40">
        <v>1</v>
      </c>
      <c r="G40" s="40">
        <v>1</v>
      </c>
      <c r="H40" s="40">
        <v>2400</v>
      </c>
      <c r="I40" s="41">
        <f t="shared" si="11"/>
        <v>0.125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6"/>
  <sheetViews>
    <sheetView workbookViewId="0">
      <selection activeCell="F18" sqref="F18"/>
    </sheetView>
  </sheetViews>
  <sheetFormatPr defaultRowHeight="15" x14ac:dyDescent="0.25"/>
  <cols>
    <col min="1" max="1" width="28.7109375" customWidth="1"/>
  </cols>
  <sheetData>
    <row r="1" spans="1:7" ht="14.45" x14ac:dyDescent="0.3">
      <c r="A1" t="s">
        <v>157</v>
      </c>
      <c r="B1" t="s">
        <v>163</v>
      </c>
      <c r="C1" t="s">
        <v>158</v>
      </c>
      <c r="D1" t="s">
        <v>172</v>
      </c>
      <c r="E1" s="42" t="s">
        <v>173</v>
      </c>
    </row>
    <row r="3" spans="1:7" ht="15.6" x14ac:dyDescent="0.35">
      <c r="A3" t="s">
        <v>156</v>
      </c>
      <c r="B3" t="s">
        <v>167</v>
      </c>
      <c r="C3" t="s">
        <v>159</v>
      </c>
      <c r="D3">
        <v>100</v>
      </c>
    </row>
    <row r="4" spans="1:7" x14ac:dyDescent="0.25">
      <c r="A4" t="s">
        <v>160</v>
      </c>
      <c r="B4" t="s">
        <v>168</v>
      </c>
      <c r="C4" t="s">
        <v>161</v>
      </c>
      <c r="D4">
        <v>10</v>
      </c>
    </row>
    <row r="5" spans="1:7" ht="15.6" x14ac:dyDescent="0.35">
      <c r="A5" t="s">
        <v>162</v>
      </c>
      <c r="B5" t="s">
        <v>169</v>
      </c>
      <c r="C5" t="s">
        <v>159</v>
      </c>
      <c r="D5">
        <v>50</v>
      </c>
    </row>
    <row r="6" spans="1:7" ht="15.6" x14ac:dyDescent="0.35">
      <c r="A6" t="s">
        <v>164</v>
      </c>
      <c r="B6" t="s">
        <v>170</v>
      </c>
      <c r="C6" t="s">
        <v>165</v>
      </c>
      <c r="D6">
        <v>20</v>
      </c>
    </row>
    <row r="7" spans="1:7" ht="14.45" x14ac:dyDescent="0.3">
      <c r="A7" t="s">
        <v>166</v>
      </c>
      <c r="B7" t="s">
        <v>171</v>
      </c>
      <c r="D7">
        <v>0.5</v>
      </c>
    </row>
    <row r="8" spans="1:7" ht="15.6" x14ac:dyDescent="0.35">
      <c r="A8" t="s">
        <v>176</v>
      </c>
      <c r="B8" t="s">
        <v>174</v>
      </c>
      <c r="C8" t="s">
        <v>175</v>
      </c>
      <c r="D8">
        <v>0.05</v>
      </c>
    </row>
    <row r="9" spans="1:7" ht="14.45" x14ac:dyDescent="0.3">
      <c r="A9" t="s">
        <v>177</v>
      </c>
      <c r="B9" t="s">
        <v>178</v>
      </c>
      <c r="D9">
        <v>2</v>
      </c>
    </row>
    <row r="11" spans="1:7" ht="14.45" x14ac:dyDescent="0.3">
      <c r="A11" t="s">
        <v>162</v>
      </c>
      <c r="D11">
        <f>D5</f>
        <v>50</v>
      </c>
      <c r="E11" s="42">
        <f>(D3*D4)/D6</f>
        <v>50</v>
      </c>
      <c r="F11" s="42">
        <f>D3*D4*D8</f>
        <v>50</v>
      </c>
      <c r="G11" s="42">
        <f>D3*D7</f>
        <v>50</v>
      </c>
    </row>
    <row r="12" spans="1:7" ht="14.45" x14ac:dyDescent="0.3">
      <c r="A12" t="s">
        <v>156</v>
      </c>
      <c r="D12">
        <f>D3</f>
        <v>100</v>
      </c>
      <c r="E12" s="42">
        <f>(D5*D6)/D4</f>
        <v>100</v>
      </c>
      <c r="F12" s="42">
        <f>D5/(D4*D8)</f>
        <v>100</v>
      </c>
      <c r="G12" s="42">
        <f>D5/D7</f>
        <v>100</v>
      </c>
    </row>
    <row r="13" spans="1:7" ht="14.45" x14ac:dyDescent="0.3">
      <c r="A13" t="s">
        <v>160</v>
      </c>
      <c r="D13">
        <f>D4</f>
        <v>10</v>
      </c>
      <c r="E13" s="42">
        <f>(D5*D6)/D3</f>
        <v>10</v>
      </c>
      <c r="F13" s="42">
        <f>D5/(D3*D8)</f>
        <v>10</v>
      </c>
      <c r="G13" s="42">
        <f>D7/D8</f>
        <v>10</v>
      </c>
    </row>
    <row r="14" spans="1:7" ht="14.45" x14ac:dyDescent="0.3">
      <c r="A14" t="s">
        <v>164</v>
      </c>
      <c r="D14">
        <f>D6</f>
        <v>20</v>
      </c>
      <c r="E14" s="42">
        <f>(D3*D4)/D5</f>
        <v>20</v>
      </c>
      <c r="F14" s="42">
        <f>1/D8</f>
        <v>20</v>
      </c>
      <c r="G14" s="43"/>
    </row>
    <row r="15" spans="1:7" ht="14.45" x14ac:dyDescent="0.3">
      <c r="A15" t="s">
        <v>166</v>
      </c>
      <c r="D15">
        <f>D7</f>
        <v>0.5</v>
      </c>
      <c r="E15" s="42">
        <f>D4*D8</f>
        <v>0.5</v>
      </c>
      <c r="F15" s="42">
        <f>D5/D3</f>
        <v>0.5</v>
      </c>
      <c r="G15" s="42">
        <f>D4/D6</f>
        <v>0.5</v>
      </c>
    </row>
    <row r="16" spans="1:7" ht="14.45" x14ac:dyDescent="0.3">
      <c r="A16" t="s">
        <v>177</v>
      </c>
      <c r="D16">
        <f>D9</f>
        <v>2</v>
      </c>
      <c r="E16" s="42">
        <f>1/(D4*D8)</f>
        <v>2</v>
      </c>
      <c r="F16" s="42">
        <f>1/D7</f>
        <v>2</v>
      </c>
      <c r="G16" s="4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GZ106"/>
  <sheetViews>
    <sheetView topLeftCell="A65" zoomScale="64" zoomScaleNormal="64" workbookViewId="0">
      <pane ySplit="2" topLeftCell="A76" activePane="bottomLeft" state="frozen"/>
      <selection activeCell="A65" sqref="A65"/>
      <selection pane="bottomLeft" activeCell="R101" sqref="R101"/>
    </sheetView>
  </sheetViews>
  <sheetFormatPr defaultRowHeight="15" x14ac:dyDescent="0.25"/>
  <cols>
    <col min="1" max="1" width="7.28515625" style="1" customWidth="1"/>
    <col min="2" max="2" width="29.140625" customWidth="1"/>
    <col min="3" max="3" width="14.28515625" style="1" customWidth="1"/>
    <col min="4" max="4" width="12.42578125" style="1" customWidth="1"/>
    <col min="5" max="5" width="9.42578125" style="1" customWidth="1"/>
    <col min="6" max="6" width="14" style="1" customWidth="1"/>
    <col min="7" max="7" width="8.7109375" style="1" customWidth="1"/>
    <col min="8" max="8" width="8.85546875" style="1" customWidth="1"/>
    <col min="9" max="9" width="1.42578125" style="44" customWidth="1"/>
    <col min="10" max="10" width="9.7109375" style="4" customWidth="1"/>
    <col min="11" max="11" width="9.28515625" style="4" customWidth="1"/>
    <col min="12" max="12" width="8.140625" style="4" customWidth="1"/>
    <col min="13" max="13" width="9.140625" style="4" customWidth="1"/>
    <col min="14" max="14" width="32.85546875" style="2" hidden="1" customWidth="1"/>
    <col min="15" max="15" width="1.42578125" style="2" customWidth="1"/>
    <col min="16" max="16" width="8.140625" customWidth="1"/>
    <col min="17" max="17" width="8.7109375" customWidth="1"/>
    <col min="18" max="18" width="8" customWidth="1"/>
    <col min="19" max="19" width="9.85546875" customWidth="1"/>
    <col min="20" max="20" width="1.28515625" customWidth="1"/>
    <col min="21" max="21" width="20.140625" customWidth="1"/>
    <col min="22" max="22" width="1.28515625" customWidth="1"/>
    <col min="23" max="23" width="17.140625" customWidth="1"/>
    <col min="24" max="24" width="14.5703125" customWidth="1"/>
    <col min="25" max="25" width="1.5703125" customWidth="1"/>
    <col min="26" max="26" width="16.5703125" customWidth="1"/>
    <col min="27" max="27" width="15" customWidth="1"/>
    <col min="54" max="54" width="15.7109375" customWidth="1"/>
    <col min="55" max="55" width="9.140625" customWidth="1"/>
    <col min="86" max="86" width="26.42578125" customWidth="1"/>
  </cols>
  <sheetData>
    <row r="1" spans="1:15" hidden="1" thickBot="1" x14ac:dyDescent="0.35">
      <c r="A1" s="137" t="s">
        <v>0</v>
      </c>
      <c r="B1" s="137" t="s">
        <v>1</v>
      </c>
      <c r="C1" s="137" t="s">
        <v>10</v>
      </c>
      <c r="D1" s="25" t="s">
        <v>147</v>
      </c>
      <c r="E1" s="137" t="s">
        <v>11</v>
      </c>
      <c r="F1" s="137" t="s">
        <v>12</v>
      </c>
      <c r="G1" s="137" t="s">
        <v>2</v>
      </c>
      <c r="H1" s="163" t="s">
        <v>3</v>
      </c>
      <c r="I1" s="51"/>
      <c r="J1" s="142" t="s">
        <v>28</v>
      </c>
      <c r="K1" s="142"/>
      <c r="L1" s="142"/>
      <c r="M1" s="142"/>
      <c r="N1" s="138" t="s">
        <v>7</v>
      </c>
      <c r="O1" s="52"/>
    </row>
    <row r="2" spans="1:15" s="3" customFormat="1" hidden="1" thickBot="1" x14ac:dyDescent="0.35">
      <c r="A2" s="137"/>
      <c r="B2" s="137"/>
      <c r="C2" s="162"/>
      <c r="D2" s="26" t="s">
        <v>148</v>
      </c>
      <c r="E2" s="162"/>
      <c r="F2" s="162"/>
      <c r="G2" s="137"/>
      <c r="H2" s="163"/>
      <c r="I2" s="52"/>
      <c r="J2" s="49">
        <v>30</v>
      </c>
      <c r="K2" s="10">
        <v>10</v>
      </c>
      <c r="L2" s="10">
        <v>3</v>
      </c>
      <c r="M2" s="10">
        <v>1</v>
      </c>
      <c r="N2" s="161"/>
      <c r="O2" s="52"/>
    </row>
    <row r="3" spans="1:15" hidden="1" thickBot="1" x14ac:dyDescent="0.35">
      <c r="A3" s="7">
        <v>1</v>
      </c>
      <c r="B3" s="5" t="s">
        <v>33</v>
      </c>
      <c r="C3" s="7">
        <v>900</v>
      </c>
      <c r="D3" s="7"/>
      <c r="E3" s="7">
        <v>2</v>
      </c>
      <c r="F3" s="7">
        <v>2.15</v>
      </c>
      <c r="G3" s="7"/>
      <c r="H3" s="48"/>
      <c r="J3" s="50">
        <f>((377*$E3*10^($F3/10))/(4*PI()*$J$2^2))</f>
        <v>0.10937522826722305</v>
      </c>
      <c r="K3" s="8">
        <f>((377*$E3*10^($F3/10))/(4*PI()*$K$2^2))</f>
        <v>0.98437705440500745</v>
      </c>
      <c r="L3" s="8">
        <f>((377*$E3*10^($F3/10))/(4*PI()*$L$2^2))</f>
        <v>10.937522826722306</v>
      </c>
      <c r="M3" s="8">
        <f>((377*$E3*10^($F3/10))/(4*PI()*$M$2^2))</f>
        <v>98.43770544050075</v>
      </c>
      <c r="N3" s="6"/>
      <c r="O3" s="47"/>
    </row>
    <row r="4" spans="1:15" hidden="1" thickBot="1" x14ac:dyDescent="0.35">
      <c r="A4" s="7"/>
      <c r="B4" s="5" t="s">
        <v>34</v>
      </c>
      <c r="C4" s="7">
        <v>1800</v>
      </c>
      <c r="D4" s="7"/>
      <c r="E4" s="7">
        <v>2</v>
      </c>
      <c r="F4" s="7">
        <v>2.15</v>
      </c>
      <c r="G4" s="7"/>
      <c r="H4" s="48"/>
      <c r="J4" s="50">
        <f t="shared" ref="J4:J7" si="0">((377*$E4*10^($F4/10))/(4*PI()*$J$2^2))</f>
        <v>0.10937522826722305</v>
      </c>
      <c r="K4" s="8">
        <f t="shared" ref="K4:K7" si="1">((377*$E4*10^($F4/10))/(4*PI()*$K$2^2))</f>
        <v>0.98437705440500745</v>
      </c>
      <c r="L4" s="8">
        <f t="shared" ref="L4:L7" si="2">((377*$E4*10^($F4/10))/(4*PI()*$L$2^2))</f>
        <v>10.937522826722306</v>
      </c>
      <c r="M4" s="8">
        <f t="shared" ref="M4:M7" si="3">((377*$E4*10^($F4/10))/(4*PI()*$M$2^2))</f>
        <v>98.43770544050075</v>
      </c>
      <c r="N4" s="6"/>
      <c r="O4" s="47"/>
    </row>
    <row r="5" spans="1:15" hidden="1" thickBot="1" x14ac:dyDescent="0.35">
      <c r="A5" s="7">
        <v>2</v>
      </c>
      <c r="B5" s="5" t="s">
        <v>30</v>
      </c>
      <c r="C5" s="7">
        <v>155</v>
      </c>
      <c r="D5" s="7"/>
      <c r="E5" s="7">
        <v>1</v>
      </c>
      <c r="F5" s="7">
        <v>2.15</v>
      </c>
      <c r="G5" s="7"/>
      <c r="H5" s="48"/>
      <c r="J5" s="50">
        <f t="shared" si="0"/>
        <v>5.4687614133611527E-2</v>
      </c>
      <c r="K5" s="8">
        <f t="shared" si="1"/>
        <v>0.49218852720250372</v>
      </c>
      <c r="L5" s="8">
        <f t="shared" si="2"/>
        <v>5.4687614133611531</v>
      </c>
      <c r="M5" s="8">
        <f t="shared" si="3"/>
        <v>49.218852720250375</v>
      </c>
      <c r="N5" s="6"/>
      <c r="O5" s="47"/>
    </row>
    <row r="6" spans="1:15" hidden="1" thickBot="1" x14ac:dyDescent="0.35">
      <c r="A6" s="7"/>
      <c r="B6" s="5" t="s">
        <v>32</v>
      </c>
      <c r="C6" s="7">
        <v>436</v>
      </c>
      <c r="D6" s="7"/>
      <c r="E6" s="7">
        <v>4</v>
      </c>
      <c r="F6" s="7">
        <v>2.15</v>
      </c>
      <c r="G6" s="7"/>
      <c r="H6" s="48"/>
      <c r="J6" s="50">
        <f t="shared" si="0"/>
        <v>0.21875045653444611</v>
      </c>
      <c r="K6" s="8">
        <f t="shared" si="1"/>
        <v>1.9687541088100149</v>
      </c>
      <c r="L6" s="8">
        <f t="shared" si="2"/>
        <v>21.875045653444612</v>
      </c>
      <c r="M6" s="8">
        <f t="shared" si="3"/>
        <v>196.8754108810015</v>
      </c>
      <c r="N6" s="6"/>
      <c r="O6" s="47"/>
    </row>
    <row r="7" spans="1:15" hidden="1" thickBot="1" x14ac:dyDescent="0.35">
      <c r="A7" s="7"/>
      <c r="B7" s="5" t="s">
        <v>31</v>
      </c>
      <c r="C7" s="7">
        <v>481</v>
      </c>
      <c r="D7" s="7"/>
      <c r="E7" s="7">
        <v>4</v>
      </c>
      <c r="F7" s="7">
        <v>2.15</v>
      </c>
      <c r="G7" s="7"/>
      <c r="H7" s="48"/>
      <c r="J7" s="50">
        <f t="shared" si="0"/>
        <v>0.21875045653444611</v>
      </c>
      <c r="K7" s="8">
        <f t="shared" si="1"/>
        <v>1.9687541088100149</v>
      </c>
      <c r="L7" s="8">
        <f t="shared" si="2"/>
        <v>21.875045653444612</v>
      </c>
      <c r="M7" s="8">
        <f t="shared" si="3"/>
        <v>196.8754108810015</v>
      </c>
      <c r="N7" s="6"/>
      <c r="O7" s="47"/>
    </row>
    <row r="8" spans="1:15" hidden="1" thickBot="1" x14ac:dyDescent="0.35">
      <c r="A8" s="7">
        <v>3</v>
      </c>
      <c r="B8" s="5" t="s">
        <v>21</v>
      </c>
      <c r="C8" s="7">
        <v>155</v>
      </c>
      <c r="D8" s="7"/>
      <c r="E8" s="7">
        <v>5</v>
      </c>
      <c r="F8" s="7">
        <v>2.15</v>
      </c>
      <c r="G8" s="7"/>
      <c r="H8" s="48"/>
      <c r="J8" s="50">
        <f>((377*$E8*10^($F8/10))/(4*PI()*$J$2^2))</f>
        <v>0.27343807066805764</v>
      </c>
      <c r="K8" s="8">
        <f>((377*$E8*10^($F8/10))/(4*PI()*$K$2^2))</f>
        <v>2.4609426360125184</v>
      </c>
      <c r="L8" s="8">
        <f>((377*$E8*10^($F8/10))/(4*PI()*$L$2^2))</f>
        <v>27.343807066805763</v>
      </c>
      <c r="M8" s="8">
        <f>((377*$E8*10^($F8/10))/(4*PI()*$M$2^2))</f>
        <v>246.09426360125187</v>
      </c>
      <c r="N8" s="6"/>
      <c r="O8" s="47"/>
    </row>
    <row r="9" spans="1:15" hidden="1" thickBot="1" x14ac:dyDescent="0.35">
      <c r="A9" s="7"/>
      <c r="B9" s="5" t="s">
        <v>22</v>
      </c>
      <c r="C9" s="7">
        <v>436</v>
      </c>
      <c r="D9" s="7"/>
      <c r="E9" s="7">
        <v>4</v>
      </c>
      <c r="F9" s="7">
        <v>2.15</v>
      </c>
      <c r="G9" s="7"/>
      <c r="H9" s="48"/>
      <c r="J9" s="50">
        <f t="shared" ref="J9:J25" si="4">((377*$E9*10^($F9/10))/(4*PI()*$J$2^2))</f>
        <v>0.21875045653444611</v>
      </c>
      <c r="K9" s="8">
        <f t="shared" ref="K9:K25" si="5">((377*$E9*10^($F9/10))/(4*PI()*$K$2^2))</f>
        <v>1.9687541088100149</v>
      </c>
      <c r="L9" s="8">
        <f t="shared" ref="L9:L25" si="6">((377*$E9*10^($F9/10))/(4*PI()*$L$2^2))</f>
        <v>21.875045653444612</v>
      </c>
      <c r="M9" s="8">
        <f t="shared" ref="M9:M25" si="7">((377*$E9*10^($F9/10))/(4*PI()*$M$2^2))</f>
        <v>196.8754108810015</v>
      </c>
      <c r="N9" s="6"/>
      <c r="O9" s="47"/>
    </row>
    <row r="10" spans="1:15" hidden="1" thickBot="1" x14ac:dyDescent="0.35">
      <c r="A10" s="7"/>
      <c r="B10" s="5" t="s">
        <v>23</v>
      </c>
      <c r="C10" s="7">
        <v>481</v>
      </c>
      <c r="D10" s="7"/>
      <c r="E10" s="7">
        <v>4</v>
      </c>
      <c r="F10" s="7">
        <v>2.15</v>
      </c>
      <c r="G10" s="7"/>
      <c r="H10" s="48"/>
      <c r="J10" s="50">
        <f t="shared" si="4"/>
        <v>0.21875045653444611</v>
      </c>
      <c r="K10" s="8">
        <f t="shared" si="5"/>
        <v>1.9687541088100149</v>
      </c>
      <c r="L10" s="8">
        <f t="shared" si="6"/>
        <v>21.875045653444612</v>
      </c>
      <c r="M10" s="8">
        <f t="shared" si="7"/>
        <v>196.8754108810015</v>
      </c>
      <c r="N10" s="6"/>
      <c r="O10" s="47"/>
    </row>
    <row r="11" spans="1:15" hidden="1" thickBot="1" x14ac:dyDescent="0.35">
      <c r="A11" s="7">
        <v>4</v>
      </c>
      <c r="B11" s="5" t="s">
        <v>18</v>
      </c>
      <c r="C11" s="7">
        <v>155</v>
      </c>
      <c r="D11" s="7"/>
      <c r="E11" s="7">
        <v>5</v>
      </c>
      <c r="F11" s="7">
        <v>2.15</v>
      </c>
      <c r="G11" s="7"/>
      <c r="H11" s="48"/>
      <c r="J11" s="50">
        <f t="shared" si="4"/>
        <v>0.27343807066805764</v>
      </c>
      <c r="K11" s="8">
        <f t="shared" si="5"/>
        <v>2.4609426360125184</v>
      </c>
      <c r="L11" s="8">
        <f t="shared" si="6"/>
        <v>27.343807066805763</v>
      </c>
      <c r="M11" s="8">
        <f t="shared" si="7"/>
        <v>246.09426360125187</v>
      </c>
      <c r="N11" s="6"/>
      <c r="O11" s="47"/>
    </row>
    <row r="12" spans="1:15" hidden="1" thickBot="1" x14ac:dyDescent="0.35">
      <c r="A12" s="7"/>
      <c r="B12" s="5" t="s">
        <v>19</v>
      </c>
      <c r="C12" s="7">
        <v>436</v>
      </c>
      <c r="D12" s="7"/>
      <c r="E12" s="7">
        <v>4</v>
      </c>
      <c r="F12" s="7">
        <v>2.15</v>
      </c>
      <c r="G12" s="7"/>
      <c r="H12" s="48"/>
      <c r="J12" s="50">
        <f t="shared" si="4"/>
        <v>0.21875045653444611</v>
      </c>
      <c r="K12" s="8">
        <f t="shared" si="5"/>
        <v>1.9687541088100149</v>
      </c>
      <c r="L12" s="8">
        <f t="shared" si="6"/>
        <v>21.875045653444612</v>
      </c>
      <c r="M12" s="8">
        <f t="shared" si="7"/>
        <v>196.8754108810015</v>
      </c>
      <c r="N12" s="6"/>
      <c r="O12" s="47"/>
    </row>
    <row r="13" spans="1:15" hidden="1" thickBot="1" x14ac:dyDescent="0.35">
      <c r="A13" s="7"/>
      <c r="B13" s="5" t="s">
        <v>20</v>
      </c>
      <c r="C13" s="7">
        <v>481</v>
      </c>
      <c r="D13" s="7"/>
      <c r="E13" s="7">
        <v>4</v>
      </c>
      <c r="F13" s="7">
        <v>2.15</v>
      </c>
      <c r="G13" s="7"/>
      <c r="H13" s="48"/>
      <c r="J13" s="50">
        <f t="shared" si="4"/>
        <v>0.21875045653444611</v>
      </c>
      <c r="K13" s="8">
        <f t="shared" si="5"/>
        <v>1.9687541088100149</v>
      </c>
      <c r="L13" s="8">
        <f t="shared" si="6"/>
        <v>21.875045653444612</v>
      </c>
      <c r="M13" s="8">
        <f t="shared" si="7"/>
        <v>196.8754108810015</v>
      </c>
      <c r="N13" s="6"/>
      <c r="O13" s="47"/>
    </row>
    <row r="14" spans="1:15" hidden="1" thickBot="1" x14ac:dyDescent="0.35">
      <c r="A14" s="7">
        <v>5</v>
      </c>
      <c r="B14" s="5" t="s">
        <v>24</v>
      </c>
      <c r="C14" s="7">
        <v>155</v>
      </c>
      <c r="D14" s="7"/>
      <c r="E14" s="7">
        <v>45</v>
      </c>
      <c r="F14" s="7">
        <v>2.15</v>
      </c>
      <c r="G14" s="7"/>
      <c r="H14" s="48"/>
      <c r="J14" s="50">
        <f t="shared" si="4"/>
        <v>2.4609426360125188</v>
      </c>
      <c r="K14" s="8">
        <f t="shared" si="5"/>
        <v>22.148483724112669</v>
      </c>
      <c r="L14" s="8">
        <f t="shared" si="6"/>
        <v>246.09426360125187</v>
      </c>
      <c r="M14" s="8">
        <f t="shared" si="7"/>
        <v>2214.8483724112671</v>
      </c>
      <c r="N14" s="6"/>
      <c r="O14" s="47"/>
    </row>
    <row r="15" spans="1:15" hidden="1" thickBot="1" x14ac:dyDescent="0.35">
      <c r="A15" s="7"/>
      <c r="B15" s="5" t="s">
        <v>25</v>
      </c>
      <c r="C15" s="7">
        <v>436</v>
      </c>
      <c r="D15" s="7"/>
      <c r="E15" s="7">
        <v>40</v>
      </c>
      <c r="F15" s="7">
        <v>2.15</v>
      </c>
      <c r="G15" s="7"/>
      <c r="H15" s="48"/>
      <c r="J15" s="50">
        <f t="shared" si="4"/>
        <v>2.1875045653444611</v>
      </c>
      <c r="K15" s="8">
        <f t="shared" si="5"/>
        <v>19.687541088100147</v>
      </c>
      <c r="L15" s="8">
        <f t="shared" si="6"/>
        <v>218.7504565344461</v>
      </c>
      <c r="M15" s="8">
        <f t="shared" si="7"/>
        <v>1968.7541088100149</v>
      </c>
      <c r="N15" s="6"/>
      <c r="O15" s="47"/>
    </row>
    <row r="16" spans="1:15" hidden="1" thickBot="1" x14ac:dyDescent="0.35">
      <c r="A16" s="7"/>
      <c r="B16" s="5" t="s">
        <v>26</v>
      </c>
      <c r="C16" s="7">
        <v>481</v>
      </c>
      <c r="D16" s="7"/>
      <c r="E16" s="7">
        <v>40</v>
      </c>
      <c r="F16" s="7">
        <v>2.15</v>
      </c>
      <c r="G16" s="7"/>
      <c r="H16" s="48"/>
      <c r="J16" s="50">
        <f t="shared" si="4"/>
        <v>2.1875045653444611</v>
      </c>
      <c r="K16" s="8">
        <f t="shared" si="5"/>
        <v>19.687541088100147</v>
      </c>
      <c r="L16" s="8">
        <f t="shared" si="6"/>
        <v>218.7504565344461</v>
      </c>
      <c r="M16" s="8">
        <f t="shared" si="7"/>
        <v>1968.7541088100149</v>
      </c>
      <c r="N16" s="6"/>
      <c r="O16" s="47"/>
    </row>
    <row r="17" spans="1:15" hidden="1" thickBot="1" x14ac:dyDescent="0.35">
      <c r="A17" s="7">
        <v>6</v>
      </c>
      <c r="B17" s="5" t="s">
        <v>35</v>
      </c>
      <c r="C17" s="7">
        <v>155</v>
      </c>
      <c r="D17" s="7"/>
      <c r="E17" s="7">
        <v>45</v>
      </c>
      <c r="F17" s="7">
        <v>2.15</v>
      </c>
      <c r="G17" s="7"/>
      <c r="H17" s="48"/>
      <c r="J17" s="50">
        <f t="shared" si="4"/>
        <v>2.4609426360125188</v>
      </c>
      <c r="K17" s="8">
        <f t="shared" si="5"/>
        <v>22.148483724112669</v>
      </c>
      <c r="L17" s="8">
        <f t="shared" si="6"/>
        <v>246.09426360125187</v>
      </c>
      <c r="M17" s="8">
        <f t="shared" si="7"/>
        <v>2214.8483724112671</v>
      </c>
      <c r="N17" s="6"/>
      <c r="O17" s="47"/>
    </row>
    <row r="18" spans="1:15" hidden="1" thickBot="1" x14ac:dyDescent="0.35">
      <c r="A18" s="7"/>
      <c r="B18" s="5" t="s">
        <v>36</v>
      </c>
      <c r="C18" s="7">
        <v>436</v>
      </c>
      <c r="D18" s="7"/>
      <c r="E18" s="7">
        <v>40</v>
      </c>
      <c r="F18" s="7">
        <v>2.15</v>
      </c>
      <c r="G18" s="7"/>
      <c r="H18" s="48"/>
      <c r="J18" s="50">
        <f t="shared" si="4"/>
        <v>2.1875045653444611</v>
      </c>
      <c r="K18" s="8">
        <f t="shared" si="5"/>
        <v>19.687541088100147</v>
      </c>
      <c r="L18" s="8">
        <f t="shared" si="6"/>
        <v>218.7504565344461</v>
      </c>
      <c r="M18" s="8">
        <f t="shared" si="7"/>
        <v>1968.7541088100149</v>
      </c>
      <c r="N18" s="6"/>
      <c r="O18" s="47"/>
    </row>
    <row r="19" spans="1:15" hidden="1" thickBot="1" x14ac:dyDescent="0.35">
      <c r="A19" s="7"/>
      <c r="B19" s="5" t="s">
        <v>37</v>
      </c>
      <c r="C19" s="7">
        <v>481</v>
      </c>
      <c r="D19" s="7"/>
      <c r="E19" s="7">
        <v>40</v>
      </c>
      <c r="F19" s="7">
        <v>2.15</v>
      </c>
      <c r="G19" s="7"/>
      <c r="H19" s="48"/>
      <c r="J19" s="50">
        <f t="shared" si="4"/>
        <v>2.1875045653444611</v>
      </c>
      <c r="K19" s="8">
        <f t="shared" si="5"/>
        <v>19.687541088100147</v>
      </c>
      <c r="L19" s="8">
        <f t="shared" si="6"/>
        <v>218.7504565344461</v>
      </c>
      <c r="M19" s="8">
        <f t="shared" si="7"/>
        <v>1968.7541088100149</v>
      </c>
      <c r="N19" s="6"/>
      <c r="O19" s="47"/>
    </row>
    <row r="20" spans="1:15" hidden="1" thickBot="1" x14ac:dyDescent="0.35">
      <c r="A20" s="7">
        <v>7</v>
      </c>
      <c r="B20" s="5" t="s">
        <v>38</v>
      </c>
      <c r="C20" s="7">
        <v>155</v>
      </c>
      <c r="D20" s="7"/>
      <c r="E20" s="7">
        <v>5</v>
      </c>
      <c r="F20" s="7">
        <v>2.15</v>
      </c>
      <c r="G20" s="7"/>
      <c r="H20" s="48"/>
      <c r="J20" s="50">
        <f t="shared" si="4"/>
        <v>0.27343807066805764</v>
      </c>
      <c r="K20" s="8">
        <f t="shared" si="5"/>
        <v>2.4609426360125184</v>
      </c>
      <c r="L20" s="8">
        <f t="shared" si="6"/>
        <v>27.343807066805763</v>
      </c>
      <c r="M20" s="8">
        <f t="shared" si="7"/>
        <v>246.09426360125187</v>
      </c>
      <c r="N20" s="6"/>
      <c r="O20" s="47"/>
    </row>
    <row r="21" spans="1:15" hidden="1" thickBot="1" x14ac:dyDescent="0.35">
      <c r="A21" s="7"/>
      <c r="B21" s="5" t="s">
        <v>39</v>
      </c>
      <c r="C21" s="7">
        <v>436</v>
      </c>
      <c r="D21" s="7"/>
      <c r="E21" s="7">
        <v>4</v>
      </c>
      <c r="F21" s="7">
        <v>2.15</v>
      </c>
      <c r="G21" s="7"/>
      <c r="H21" s="48"/>
      <c r="J21" s="50">
        <f t="shared" si="4"/>
        <v>0.21875045653444611</v>
      </c>
      <c r="K21" s="8">
        <f t="shared" si="5"/>
        <v>1.9687541088100149</v>
      </c>
      <c r="L21" s="8">
        <f t="shared" si="6"/>
        <v>21.875045653444612</v>
      </c>
      <c r="M21" s="8">
        <f t="shared" si="7"/>
        <v>196.8754108810015</v>
      </c>
      <c r="N21" s="6"/>
      <c r="O21" s="47"/>
    </row>
    <row r="22" spans="1:15" hidden="1" thickBot="1" x14ac:dyDescent="0.35">
      <c r="A22" s="7"/>
      <c r="B22" s="5" t="s">
        <v>40</v>
      </c>
      <c r="C22" s="7">
        <v>481</v>
      </c>
      <c r="D22" s="7"/>
      <c r="E22" s="7">
        <v>4</v>
      </c>
      <c r="F22" s="7">
        <v>2.15</v>
      </c>
      <c r="G22" s="7"/>
      <c r="H22" s="48"/>
      <c r="J22" s="50">
        <f t="shared" si="4"/>
        <v>0.21875045653444611</v>
      </c>
      <c r="K22" s="8">
        <f t="shared" si="5"/>
        <v>1.9687541088100149</v>
      </c>
      <c r="L22" s="8">
        <f t="shared" si="6"/>
        <v>21.875045653444612</v>
      </c>
      <c r="M22" s="8">
        <f t="shared" si="7"/>
        <v>196.8754108810015</v>
      </c>
      <c r="N22" s="6"/>
      <c r="O22" s="47"/>
    </row>
    <row r="23" spans="1:15" hidden="1" thickBot="1" x14ac:dyDescent="0.35">
      <c r="A23" s="7">
        <v>8</v>
      </c>
      <c r="B23" s="5" t="s">
        <v>41</v>
      </c>
      <c r="C23" s="7">
        <v>155</v>
      </c>
      <c r="D23" s="7"/>
      <c r="E23" s="7">
        <v>5</v>
      </c>
      <c r="F23" s="7">
        <v>2.15</v>
      </c>
      <c r="G23" s="7"/>
      <c r="H23" s="48"/>
      <c r="J23" s="50">
        <f t="shared" si="4"/>
        <v>0.27343807066805764</v>
      </c>
      <c r="K23" s="8">
        <f t="shared" si="5"/>
        <v>2.4609426360125184</v>
      </c>
      <c r="L23" s="8">
        <f t="shared" si="6"/>
        <v>27.343807066805763</v>
      </c>
      <c r="M23" s="8">
        <f t="shared" si="7"/>
        <v>246.09426360125187</v>
      </c>
      <c r="N23" s="6"/>
      <c r="O23" s="47"/>
    </row>
    <row r="24" spans="1:15" hidden="1" thickBot="1" x14ac:dyDescent="0.35">
      <c r="A24" s="7"/>
      <c r="B24" s="5" t="s">
        <v>42</v>
      </c>
      <c r="C24" s="7">
        <v>436</v>
      </c>
      <c r="D24" s="7"/>
      <c r="E24" s="7">
        <v>4</v>
      </c>
      <c r="F24" s="7">
        <v>2.15</v>
      </c>
      <c r="G24" s="7"/>
      <c r="H24" s="48"/>
      <c r="J24" s="50">
        <f t="shared" si="4"/>
        <v>0.21875045653444611</v>
      </c>
      <c r="K24" s="8">
        <f t="shared" si="5"/>
        <v>1.9687541088100149</v>
      </c>
      <c r="L24" s="8">
        <f t="shared" si="6"/>
        <v>21.875045653444612</v>
      </c>
      <c r="M24" s="8">
        <f t="shared" si="7"/>
        <v>196.8754108810015</v>
      </c>
      <c r="N24" s="6"/>
      <c r="O24" s="47"/>
    </row>
    <row r="25" spans="1:15" hidden="1" thickBot="1" x14ac:dyDescent="0.35">
      <c r="A25" s="7"/>
      <c r="B25" s="5" t="s">
        <v>43</v>
      </c>
      <c r="C25" s="7">
        <v>481</v>
      </c>
      <c r="D25" s="7"/>
      <c r="E25" s="7">
        <v>4</v>
      </c>
      <c r="F25" s="7">
        <v>2.15</v>
      </c>
      <c r="G25" s="7"/>
      <c r="H25" s="48"/>
      <c r="J25" s="50">
        <f t="shared" si="4"/>
        <v>0.21875045653444611</v>
      </c>
      <c r="K25" s="8">
        <f t="shared" si="5"/>
        <v>1.9687541088100149</v>
      </c>
      <c r="L25" s="8">
        <f t="shared" si="6"/>
        <v>21.875045653444612</v>
      </c>
      <c r="M25" s="8">
        <f t="shared" si="7"/>
        <v>196.8754108810015</v>
      </c>
      <c r="N25" s="6"/>
      <c r="O25" s="47"/>
    </row>
    <row r="26" spans="1:15" hidden="1" thickBot="1" x14ac:dyDescent="0.35">
      <c r="A26" s="7">
        <v>9</v>
      </c>
      <c r="B26" s="5" t="s">
        <v>44</v>
      </c>
      <c r="C26" s="7"/>
      <c r="D26" s="7"/>
      <c r="E26" s="7"/>
      <c r="F26" s="7"/>
      <c r="G26" s="7"/>
      <c r="H26" s="48"/>
      <c r="J26" s="50"/>
      <c r="K26" s="8"/>
      <c r="L26" s="8"/>
      <c r="M26" s="8"/>
      <c r="N26" s="6"/>
      <c r="O26" s="47"/>
    </row>
    <row r="27" spans="1:15" hidden="1" thickBot="1" x14ac:dyDescent="0.35">
      <c r="A27" s="7"/>
      <c r="B27" s="5" t="s">
        <v>45</v>
      </c>
      <c r="C27" s="7"/>
      <c r="D27" s="7"/>
      <c r="E27" s="7"/>
      <c r="F27" s="7"/>
      <c r="G27" s="7"/>
      <c r="H27" s="48"/>
      <c r="J27" s="50"/>
      <c r="K27" s="8"/>
      <c r="L27" s="8"/>
      <c r="M27" s="8"/>
      <c r="N27" s="6"/>
      <c r="O27" s="47"/>
    </row>
    <row r="28" spans="1:15" hidden="1" thickBot="1" x14ac:dyDescent="0.35">
      <c r="A28" s="7"/>
      <c r="B28" s="5" t="s">
        <v>46</v>
      </c>
      <c r="C28" s="7"/>
      <c r="D28" s="7"/>
      <c r="E28" s="7"/>
      <c r="F28" s="7"/>
      <c r="G28" s="7"/>
      <c r="H28" s="48"/>
      <c r="J28" s="50"/>
      <c r="K28" s="8"/>
      <c r="L28" s="8"/>
      <c r="M28" s="8"/>
      <c r="N28" s="6"/>
      <c r="O28" s="47"/>
    </row>
    <row r="29" spans="1:15" hidden="1" thickBot="1" x14ac:dyDescent="0.35">
      <c r="A29" s="7">
        <v>10</v>
      </c>
      <c r="B29" s="5" t="s">
        <v>47</v>
      </c>
      <c r="C29" s="7"/>
      <c r="D29" s="7"/>
      <c r="E29" s="7"/>
      <c r="F29" s="7"/>
      <c r="G29" s="7"/>
      <c r="H29" s="48"/>
      <c r="J29" s="50"/>
      <c r="K29" s="8"/>
      <c r="L29" s="8"/>
      <c r="M29" s="8"/>
      <c r="N29" s="6"/>
      <c r="O29" s="47"/>
    </row>
    <row r="30" spans="1:15" hidden="1" thickBot="1" x14ac:dyDescent="0.35">
      <c r="A30" s="7"/>
      <c r="B30" s="5" t="s">
        <v>48</v>
      </c>
      <c r="C30" s="7"/>
      <c r="D30" s="7"/>
      <c r="E30" s="7"/>
      <c r="F30" s="7"/>
      <c r="G30" s="7"/>
      <c r="H30" s="48"/>
      <c r="J30" s="50"/>
      <c r="K30" s="8"/>
      <c r="L30" s="8"/>
      <c r="M30" s="8"/>
      <c r="N30" s="6"/>
      <c r="O30" s="47"/>
    </row>
    <row r="31" spans="1:15" hidden="1" thickBot="1" x14ac:dyDescent="0.35">
      <c r="A31" s="7"/>
      <c r="B31" s="5" t="s">
        <v>49</v>
      </c>
      <c r="C31" s="7"/>
      <c r="D31" s="7"/>
      <c r="E31" s="7"/>
      <c r="F31" s="7"/>
      <c r="G31" s="7"/>
      <c r="H31" s="48"/>
      <c r="J31" s="50"/>
      <c r="K31" s="8"/>
      <c r="L31" s="8"/>
      <c r="M31" s="8"/>
      <c r="N31" s="6"/>
      <c r="O31" s="47"/>
    </row>
    <row r="32" spans="1:15" hidden="1" thickBot="1" x14ac:dyDescent="0.35">
      <c r="A32" s="7">
        <v>11</v>
      </c>
      <c r="B32" s="5" t="s">
        <v>30</v>
      </c>
      <c r="C32" s="7">
        <v>155</v>
      </c>
      <c r="D32" s="7"/>
      <c r="E32" s="7">
        <v>5</v>
      </c>
      <c r="F32" s="7">
        <v>2.15</v>
      </c>
      <c r="G32" s="7"/>
      <c r="H32" s="48"/>
      <c r="J32" s="50">
        <f t="shared" ref="J32:J40" si="8">((377*$E32*10^($F32/10))/(4*PI()*$J$2^2))</f>
        <v>0.27343807066805764</v>
      </c>
      <c r="K32" s="8">
        <f t="shared" ref="K32:K40" si="9">((377*$E32*10^($F32/10))/(4*PI()*$K$2^2))</f>
        <v>2.4609426360125184</v>
      </c>
      <c r="L32" s="8">
        <f t="shared" ref="L32:L40" si="10">((377*$E32*10^($F32/10))/(4*PI()*$L$2^2))</f>
        <v>27.343807066805763</v>
      </c>
      <c r="M32" s="8">
        <f t="shared" ref="M32:M40" si="11">((377*$E32*10^($F32/10))/(4*PI()*$M$2^2))</f>
        <v>246.09426360125187</v>
      </c>
      <c r="N32" s="6"/>
      <c r="O32" s="47"/>
    </row>
    <row r="33" spans="1:15" hidden="1" thickBot="1" x14ac:dyDescent="0.35">
      <c r="A33" s="7"/>
      <c r="B33" s="5" t="s">
        <v>32</v>
      </c>
      <c r="C33" s="7">
        <v>436</v>
      </c>
      <c r="D33" s="7"/>
      <c r="E33" s="7">
        <v>4</v>
      </c>
      <c r="F33" s="7">
        <v>2.15</v>
      </c>
      <c r="G33" s="7"/>
      <c r="H33" s="48"/>
      <c r="J33" s="50">
        <f t="shared" si="8"/>
        <v>0.21875045653444611</v>
      </c>
      <c r="K33" s="8">
        <f t="shared" si="9"/>
        <v>1.9687541088100149</v>
      </c>
      <c r="L33" s="8">
        <f t="shared" si="10"/>
        <v>21.875045653444612</v>
      </c>
      <c r="M33" s="8">
        <f t="shared" si="11"/>
        <v>196.8754108810015</v>
      </c>
      <c r="N33" s="6"/>
      <c r="O33" s="47"/>
    </row>
    <row r="34" spans="1:15" hidden="1" thickBot="1" x14ac:dyDescent="0.35">
      <c r="A34" s="7"/>
      <c r="B34" s="5" t="s">
        <v>31</v>
      </c>
      <c r="C34" s="7">
        <v>481</v>
      </c>
      <c r="D34" s="7"/>
      <c r="E34" s="7">
        <v>4</v>
      </c>
      <c r="F34" s="7">
        <v>2.15</v>
      </c>
      <c r="G34" s="7"/>
      <c r="H34" s="48"/>
      <c r="J34" s="50">
        <f t="shared" si="8"/>
        <v>0.21875045653444611</v>
      </c>
      <c r="K34" s="8">
        <f t="shared" si="9"/>
        <v>1.9687541088100149</v>
      </c>
      <c r="L34" s="8">
        <f t="shared" si="10"/>
        <v>21.875045653444612</v>
      </c>
      <c r="M34" s="8">
        <f t="shared" si="11"/>
        <v>196.8754108810015</v>
      </c>
      <c r="N34" s="6"/>
      <c r="O34" s="47"/>
    </row>
    <row r="35" spans="1:15" hidden="1" thickBot="1" x14ac:dyDescent="0.35">
      <c r="A35" s="7">
        <v>12</v>
      </c>
      <c r="B35" s="5" t="s">
        <v>50</v>
      </c>
      <c r="C35" s="7">
        <v>155</v>
      </c>
      <c r="D35" s="7"/>
      <c r="E35" s="7">
        <v>5</v>
      </c>
      <c r="F35" s="7">
        <v>2.15</v>
      </c>
      <c r="G35" s="7"/>
      <c r="H35" s="48"/>
      <c r="J35" s="50">
        <f t="shared" si="8"/>
        <v>0.27343807066805764</v>
      </c>
      <c r="K35" s="8">
        <f t="shared" si="9"/>
        <v>2.4609426360125184</v>
      </c>
      <c r="L35" s="8">
        <f t="shared" si="10"/>
        <v>27.343807066805763</v>
      </c>
      <c r="M35" s="8">
        <f t="shared" si="11"/>
        <v>246.09426360125187</v>
      </c>
      <c r="N35" s="6"/>
      <c r="O35" s="47"/>
    </row>
    <row r="36" spans="1:15" hidden="1" thickBot="1" x14ac:dyDescent="0.35">
      <c r="A36" s="7"/>
      <c r="B36" s="5" t="s">
        <v>51</v>
      </c>
      <c r="C36" s="7">
        <v>436</v>
      </c>
      <c r="D36" s="7"/>
      <c r="E36" s="7">
        <v>4</v>
      </c>
      <c r="F36" s="7">
        <v>2.15</v>
      </c>
      <c r="G36" s="7"/>
      <c r="H36" s="48"/>
      <c r="J36" s="50">
        <f t="shared" si="8"/>
        <v>0.21875045653444611</v>
      </c>
      <c r="K36" s="8">
        <f t="shared" si="9"/>
        <v>1.9687541088100149</v>
      </c>
      <c r="L36" s="8">
        <f t="shared" si="10"/>
        <v>21.875045653444612</v>
      </c>
      <c r="M36" s="8">
        <f t="shared" si="11"/>
        <v>196.8754108810015</v>
      </c>
      <c r="N36" s="6"/>
      <c r="O36" s="47"/>
    </row>
    <row r="37" spans="1:15" hidden="1" thickBot="1" x14ac:dyDescent="0.35">
      <c r="A37" s="7"/>
      <c r="B37" s="5" t="s">
        <v>52</v>
      </c>
      <c r="C37" s="7">
        <v>481</v>
      </c>
      <c r="D37" s="7"/>
      <c r="E37" s="7">
        <v>4</v>
      </c>
      <c r="F37" s="7">
        <v>2.15</v>
      </c>
      <c r="G37" s="7"/>
      <c r="H37" s="48"/>
      <c r="J37" s="50">
        <f t="shared" si="8"/>
        <v>0.21875045653444611</v>
      </c>
      <c r="K37" s="8">
        <f t="shared" si="9"/>
        <v>1.9687541088100149</v>
      </c>
      <c r="L37" s="8">
        <f t="shared" si="10"/>
        <v>21.875045653444612</v>
      </c>
      <c r="M37" s="8">
        <f t="shared" si="11"/>
        <v>196.8754108810015</v>
      </c>
      <c r="N37" s="6"/>
      <c r="O37" s="47"/>
    </row>
    <row r="38" spans="1:15" hidden="1" thickBot="1" x14ac:dyDescent="0.35">
      <c r="A38" s="7">
        <v>13</v>
      </c>
      <c r="B38" s="5" t="s">
        <v>53</v>
      </c>
      <c r="C38" s="7">
        <v>155</v>
      </c>
      <c r="D38" s="7"/>
      <c r="E38" s="7">
        <v>5</v>
      </c>
      <c r="F38" s="7">
        <v>2.15</v>
      </c>
      <c r="G38" s="7"/>
      <c r="H38" s="48"/>
      <c r="J38" s="50">
        <f t="shared" si="8"/>
        <v>0.27343807066805764</v>
      </c>
      <c r="K38" s="8">
        <f t="shared" si="9"/>
        <v>2.4609426360125184</v>
      </c>
      <c r="L38" s="8">
        <f t="shared" si="10"/>
        <v>27.343807066805763</v>
      </c>
      <c r="M38" s="8">
        <f t="shared" si="11"/>
        <v>246.09426360125187</v>
      </c>
      <c r="N38" s="6"/>
      <c r="O38" s="47"/>
    </row>
    <row r="39" spans="1:15" hidden="1" thickBot="1" x14ac:dyDescent="0.35">
      <c r="A39" s="7"/>
      <c r="B39" s="5" t="s">
        <v>55</v>
      </c>
      <c r="C39" s="7">
        <v>436</v>
      </c>
      <c r="D39" s="7"/>
      <c r="E39" s="7">
        <v>4</v>
      </c>
      <c r="F39" s="7">
        <v>2.15</v>
      </c>
      <c r="G39" s="7"/>
      <c r="H39" s="48"/>
      <c r="J39" s="50">
        <f t="shared" si="8"/>
        <v>0.21875045653444611</v>
      </c>
      <c r="K39" s="8">
        <f t="shared" si="9"/>
        <v>1.9687541088100149</v>
      </c>
      <c r="L39" s="8">
        <f t="shared" si="10"/>
        <v>21.875045653444612</v>
      </c>
      <c r="M39" s="8">
        <f t="shared" si="11"/>
        <v>196.8754108810015</v>
      </c>
      <c r="N39" s="6"/>
      <c r="O39" s="47"/>
    </row>
    <row r="40" spans="1:15" hidden="1" thickBot="1" x14ac:dyDescent="0.35">
      <c r="A40" s="7"/>
      <c r="B40" s="5" t="s">
        <v>54</v>
      </c>
      <c r="C40" s="7">
        <v>481</v>
      </c>
      <c r="D40" s="7"/>
      <c r="E40" s="7">
        <v>4</v>
      </c>
      <c r="F40" s="7">
        <v>2.15</v>
      </c>
      <c r="G40" s="7"/>
      <c r="H40" s="48"/>
      <c r="J40" s="50">
        <f t="shared" si="8"/>
        <v>0.21875045653444611</v>
      </c>
      <c r="K40" s="8">
        <f t="shared" si="9"/>
        <v>1.9687541088100149</v>
      </c>
      <c r="L40" s="8">
        <f t="shared" si="10"/>
        <v>21.875045653444612</v>
      </c>
      <c r="M40" s="8">
        <f t="shared" si="11"/>
        <v>196.8754108810015</v>
      </c>
      <c r="N40" s="6"/>
      <c r="O40" s="47"/>
    </row>
    <row r="41" spans="1:15" hidden="1" thickBot="1" x14ac:dyDescent="0.35">
      <c r="A41" s="7">
        <v>14</v>
      </c>
      <c r="B41" s="5" t="s">
        <v>56</v>
      </c>
      <c r="C41" s="7"/>
      <c r="D41" s="7"/>
      <c r="E41" s="7"/>
      <c r="F41" s="7"/>
      <c r="G41" s="7"/>
      <c r="H41" s="48"/>
      <c r="J41" s="50"/>
      <c r="K41" s="8"/>
      <c r="L41" s="8"/>
      <c r="M41" s="8"/>
      <c r="N41" s="6"/>
      <c r="O41" s="47"/>
    </row>
    <row r="42" spans="1:15" hidden="1" thickBot="1" x14ac:dyDescent="0.35">
      <c r="A42" s="7"/>
      <c r="B42" s="5" t="s">
        <v>57</v>
      </c>
      <c r="C42" s="7"/>
      <c r="D42" s="7"/>
      <c r="E42" s="7"/>
      <c r="F42" s="7"/>
      <c r="G42" s="7"/>
      <c r="H42" s="48"/>
      <c r="J42" s="50"/>
      <c r="K42" s="8"/>
      <c r="L42" s="8"/>
      <c r="M42" s="8"/>
      <c r="N42" s="6"/>
      <c r="O42" s="47"/>
    </row>
    <row r="43" spans="1:15" hidden="1" thickBot="1" x14ac:dyDescent="0.35">
      <c r="A43" s="7"/>
      <c r="B43" s="5" t="s">
        <v>58</v>
      </c>
      <c r="C43" s="7"/>
      <c r="D43" s="7"/>
      <c r="E43" s="7"/>
      <c r="F43" s="7"/>
      <c r="G43" s="7"/>
      <c r="H43" s="48"/>
      <c r="J43" s="50"/>
      <c r="K43" s="8"/>
      <c r="L43" s="8"/>
      <c r="M43" s="8"/>
      <c r="N43" s="6"/>
      <c r="O43" s="47"/>
    </row>
    <row r="44" spans="1:15" hidden="1" thickBot="1" x14ac:dyDescent="0.35">
      <c r="A44" s="7">
        <v>15</v>
      </c>
      <c r="B44" s="5" t="s">
        <v>59</v>
      </c>
      <c r="C44" s="7"/>
      <c r="D44" s="7"/>
      <c r="E44" s="7"/>
      <c r="F44" s="7"/>
      <c r="G44" s="7"/>
      <c r="H44" s="48"/>
      <c r="J44" s="50"/>
      <c r="K44" s="8"/>
      <c r="L44" s="8"/>
      <c r="M44" s="8"/>
      <c r="N44" s="6"/>
      <c r="O44" s="47"/>
    </row>
    <row r="45" spans="1:15" hidden="1" thickBot="1" x14ac:dyDescent="0.35">
      <c r="A45" s="7"/>
      <c r="B45" s="5" t="s">
        <v>60</v>
      </c>
      <c r="C45" s="7"/>
      <c r="D45" s="7"/>
      <c r="E45" s="7"/>
      <c r="F45" s="7"/>
      <c r="G45" s="7"/>
      <c r="H45" s="48"/>
      <c r="J45" s="50"/>
      <c r="K45" s="8"/>
      <c r="L45" s="8"/>
      <c r="M45" s="8"/>
      <c r="N45" s="6"/>
      <c r="O45" s="47"/>
    </row>
    <row r="46" spans="1:15" hidden="1" thickBot="1" x14ac:dyDescent="0.35">
      <c r="A46" s="7"/>
      <c r="B46" s="5" t="s">
        <v>61</v>
      </c>
      <c r="C46" s="7"/>
      <c r="D46" s="7"/>
      <c r="E46" s="7"/>
      <c r="F46" s="7"/>
      <c r="G46" s="7"/>
      <c r="H46" s="48"/>
      <c r="J46" s="50"/>
      <c r="K46" s="8"/>
      <c r="L46" s="8"/>
      <c r="M46" s="8"/>
      <c r="N46" s="6"/>
      <c r="O46" s="47"/>
    </row>
    <row r="47" spans="1:15" hidden="1" thickBot="1" x14ac:dyDescent="0.35">
      <c r="A47" s="7">
        <v>16</v>
      </c>
      <c r="B47" s="5" t="s">
        <v>62</v>
      </c>
      <c r="C47" s="7"/>
      <c r="D47" s="7"/>
      <c r="E47" s="7"/>
      <c r="F47" s="7"/>
      <c r="G47" s="7"/>
      <c r="H47" s="48"/>
      <c r="J47" s="50"/>
      <c r="K47" s="8"/>
      <c r="L47" s="8"/>
      <c r="M47" s="8"/>
      <c r="N47" s="6"/>
      <c r="O47" s="47"/>
    </row>
    <row r="48" spans="1:15" hidden="1" thickBot="1" x14ac:dyDescent="0.35">
      <c r="A48" s="7"/>
      <c r="B48" s="5" t="s">
        <v>63</v>
      </c>
      <c r="C48" s="7"/>
      <c r="D48" s="7"/>
      <c r="E48" s="7"/>
      <c r="F48" s="7"/>
      <c r="G48" s="7"/>
      <c r="H48" s="48"/>
      <c r="J48" s="50"/>
      <c r="K48" s="8"/>
      <c r="L48" s="8"/>
      <c r="M48" s="8"/>
      <c r="N48" s="6"/>
      <c r="O48" s="47"/>
    </row>
    <row r="49" spans="1:15" hidden="1" thickBot="1" x14ac:dyDescent="0.35">
      <c r="A49" s="7"/>
      <c r="B49" s="5" t="s">
        <v>64</v>
      </c>
      <c r="C49" s="7"/>
      <c r="D49" s="7"/>
      <c r="E49" s="7"/>
      <c r="F49" s="7"/>
      <c r="G49" s="7"/>
      <c r="H49" s="48"/>
      <c r="J49" s="50"/>
      <c r="K49" s="8"/>
      <c r="L49" s="8"/>
      <c r="M49" s="8"/>
      <c r="N49" s="6"/>
      <c r="O49" s="47"/>
    </row>
    <row r="50" spans="1:15" hidden="1" thickBot="1" x14ac:dyDescent="0.35">
      <c r="A50" s="7">
        <v>17</v>
      </c>
      <c r="B50" s="5" t="s">
        <v>4</v>
      </c>
      <c r="C50" s="7"/>
      <c r="D50" s="7"/>
      <c r="E50" s="7"/>
      <c r="F50" s="7"/>
      <c r="G50" s="7"/>
      <c r="H50" s="48"/>
      <c r="J50" s="50"/>
      <c r="K50" s="8"/>
      <c r="L50" s="8"/>
      <c r="M50" s="8"/>
      <c r="N50" s="6"/>
      <c r="O50" s="47"/>
    </row>
    <row r="51" spans="1:15" hidden="1" thickBot="1" x14ac:dyDescent="0.35">
      <c r="A51" s="7">
        <v>18</v>
      </c>
      <c r="B51" s="5" t="s">
        <v>5</v>
      </c>
      <c r="C51" s="7">
        <v>900</v>
      </c>
      <c r="D51" s="7"/>
      <c r="E51" s="7">
        <v>2</v>
      </c>
      <c r="F51" s="7">
        <v>2.15</v>
      </c>
      <c r="G51" s="7"/>
      <c r="H51" s="48"/>
      <c r="J51" s="50">
        <f t="shared" ref="J51:J59" si="12">((377*$E51*10^($F51/10))/(4*PI()*$J$2^2))</f>
        <v>0.10937522826722305</v>
      </c>
      <c r="K51" s="8">
        <f t="shared" ref="K51:K59" si="13">((377*$E51*10^($F51/10))/(4*PI()*$K$2^2))</f>
        <v>0.98437705440500745</v>
      </c>
      <c r="L51" s="8">
        <f t="shared" ref="L51:L59" si="14">((377*$E51*10^($F51/10))/(4*PI()*$L$2^2))</f>
        <v>10.937522826722306</v>
      </c>
      <c r="M51" s="8">
        <f t="shared" ref="M51:M59" si="15">((377*$E51*10^($F51/10))/(4*PI()*$M$2^2))</f>
        <v>98.43770544050075</v>
      </c>
      <c r="N51" s="6"/>
      <c r="O51" s="47"/>
    </row>
    <row r="52" spans="1:15" hidden="1" thickBot="1" x14ac:dyDescent="0.35">
      <c r="A52" s="7"/>
      <c r="B52" s="5" t="s">
        <v>66</v>
      </c>
      <c r="C52" s="7">
        <v>1800</v>
      </c>
      <c r="D52" s="7"/>
      <c r="E52" s="7">
        <v>1</v>
      </c>
      <c r="F52" s="7">
        <v>2.15</v>
      </c>
      <c r="G52" s="7"/>
      <c r="H52" s="48"/>
      <c r="J52" s="50">
        <f t="shared" si="12"/>
        <v>5.4687614133611527E-2</v>
      </c>
      <c r="K52" s="8">
        <f t="shared" si="13"/>
        <v>0.49218852720250372</v>
      </c>
      <c r="L52" s="8">
        <f t="shared" si="14"/>
        <v>5.4687614133611531</v>
      </c>
      <c r="M52" s="8">
        <f t="shared" si="15"/>
        <v>49.218852720250375</v>
      </c>
      <c r="N52" s="6"/>
      <c r="O52" s="47"/>
    </row>
    <row r="53" spans="1:15" hidden="1" thickBot="1" x14ac:dyDescent="0.35">
      <c r="A53" s="7"/>
      <c r="B53" s="5" t="s">
        <v>67</v>
      </c>
      <c r="C53" s="7">
        <v>2100</v>
      </c>
      <c r="D53" s="7"/>
      <c r="E53" s="7">
        <v>0.25</v>
      </c>
      <c r="F53" s="7">
        <v>2.15</v>
      </c>
      <c r="G53" s="7"/>
      <c r="H53" s="48"/>
      <c r="J53" s="50">
        <f t="shared" si="12"/>
        <v>1.3671903533402882E-2</v>
      </c>
      <c r="K53" s="8">
        <f t="shared" si="13"/>
        <v>0.12304713180062593</v>
      </c>
      <c r="L53" s="8">
        <f t="shared" si="14"/>
        <v>1.3671903533402883</v>
      </c>
      <c r="M53" s="8">
        <f t="shared" si="15"/>
        <v>12.304713180062594</v>
      </c>
      <c r="N53" s="6"/>
      <c r="O53" s="47"/>
    </row>
    <row r="54" spans="1:15" hidden="1" thickBot="1" x14ac:dyDescent="0.35">
      <c r="A54" s="7">
        <v>19</v>
      </c>
      <c r="B54" s="5" t="s">
        <v>27</v>
      </c>
      <c r="C54" s="7">
        <v>2300</v>
      </c>
      <c r="D54" s="7"/>
      <c r="E54" s="7">
        <v>0.25</v>
      </c>
      <c r="F54" s="7">
        <v>2.15</v>
      </c>
      <c r="G54" s="7"/>
      <c r="H54" s="48"/>
      <c r="J54" s="50">
        <f t="shared" si="12"/>
        <v>1.3671903533402882E-2</v>
      </c>
      <c r="K54" s="8">
        <f t="shared" si="13"/>
        <v>0.12304713180062593</v>
      </c>
      <c r="L54" s="8">
        <f t="shared" si="14"/>
        <v>1.3671903533402883</v>
      </c>
      <c r="M54" s="8">
        <f t="shared" si="15"/>
        <v>12.304713180062594</v>
      </c>
      <c r="N54" s="6"/>
      <c r="O54" s="47"/>
    </row>
    <row r="55" spans="1:15" hidden="1" thickBot="1" x14ac:dyDescent="0.35">
      <c r="A55" s="7">
        <v>20</v>
      </c>
      <c r="B55" s="5" t="s">
        <v>65</v>
      </c>
      <c r="C55" s="7">
        <v>2400</v>
      </c>
      <c r="D55" s="7"/>
      <c r="E55" s="7">
        <v>0.1</v>
      </c>
      <c r="F55" s="7">
        <v>2.15</v>
      </c>
      <c r="G55" s="7"/>
      <c r="H55" s="48"/>
      <c r="J55" s="50">
        <f t="shared" si="12"/>
        <v>5.4687614133611534E-3</v>
      </c>
      <c r="K55" s="8">
        <f t="shared" si="13"/>
        <v>4.9218852720250381E-2</v>
      </c>
      <c r="L55" s="8">
        <f t="shared" si="14"/>
        <v>0.54687614133611528</v>
      </c>
      <c r="M55" s="8">
        <f t="shared" si="15"/>
        <v>4.9218852720250377</v>
      </c>
      <c r="N55" s="6"/>
      <c r="O55" s="47"/>
    </row>
    <row r="56" spans="1:15" hidden="1" thickBot="1" x14ac:dyDescent="0.35">
      <c r="A56" s="7">
        <v>21</v>
      </c>
      <c r="B56" s="5" t="s">
        <v>6</v>
      </c>
      <c r="C56" s="7">
        <v>2400</v>
      </c>
      <c r="D56" s="7"/>
      <c r="E56" s="7">
        <v>0.1</v>
      </c>
      <c r="F56" s="7">
        <v>2.15</v>
      </c>
      <c r="G56" s="7"/>
      <c r="H56" s="48"/>
      <c r="J56" s="50">
        <f t="shared" si="12"/>
        <v>5.4687614133611534E-3</v>
      </c>
      <c r="K56" s="8">
        <f t="shared" si="13"/>
        <v>4.9218852720250381E-2</v>
      </c>
      <c r="L56" s="8">
        <f t="shared" si="14"/>
        <v>0.54687614133611528</v>
      </c>
      <c r="M56" s="8">
        <f t="shared" si="15"/>
        <v>4.9218852720250377</v>
      </c>
      <c r="N56" s="6"/>
      <c r="O56" s="47"/>
    </row>
    <row r="57" spans="1:15" hidden="1" thickBot="1" x14ac:dyDescent="0.35">
      <c r="A57" s="7">
        <v>22</v>
      </c>
      <c r="B57" s="5" t="s">
        <v>8</v>
      </c>
      <c r="C57" s="7">
        <v>900</v>
      </c>
      <c r="D57" s="7"/>
      <c r="E57" s="7">
        <v>1</v>
      </c>
      <c r="F57" s="7">
        <v>2.15</v>
      </c>
      <c r="G57" s="7"/>
      <c r="H57" s="48"/>
      <c r="J57" s="50">
        <f t="shared" si="12"/>
        <v>5.4687614133611527E-2</v>
      </c>
      <c r="K57" s="8">
        <f t="shared" si="13"/>
        <v>0.49218852720250372</v>
      </c>
      <c r="L57" s="8">
        <f t="shared" si="14"/>
        <v>5.4687614133611531</v>
      </c>
      <c r="M57" s="8">
        <f t="shared" si="15"/>
        <v>49.218852720250375</v>
      </c>
      <c r="N57" s="6"/>
      <c r="O57" s="47"/>
    </row>
    <row r="58" spans="1:15" ht="43.9" hidden="1" thickBot="1" x14ac:dyDescent="0.35">
      <c r="A58" s="7"/>
      <c r="B58" s="5" t="s">
        <v>9</v>
      </c>
      <c r="C58" s="7">
        <v>2400</v>
      </c>
      <c r="D58" s="7"/>
      <c r="E58" s="7">
        <v>0.1</v>
      </c>
      <c r="F58" s="7">
        <v>2.15</v>
      </c>
      <c r="G58" s="7"/>
      <c r="H58" s="48"/>
      <c r="J58" s="50">
        <f t="shared" si="12"/>
        <v>5.4687614133611534E-3</v>
      </c>
      <c r="K58" s="8">
        <f t="shared" si="13"/>
        <v>4.9218852720250381E-2</v>
      </c>
      <c r="L58" s="8">
        <f t="shared" si="14"/>
        <v>0.54687614133611528</v>
      </c>
      <c r="M58" s="8">
        <f t="shared" si="15"/>
        <v>4.9218852720250377</v>
      </c>
      <c r="N58" s="6" t="s">
        <v>29</v>
      </c>
      <c r="O58" s="47"/>
    </row>
    <row r="59" spans="1:15" ht="43.9" hidden="1" thickBot="1" x14ac:dyDescent="0.35">
      <c r="A59" s="7">
        <v>23</v>
      </c>
      <c r="B59" s="5" t="s">
        <v>13</v>
      </c>
      <c r="C59" s="7">
        <v>2400</v>
      </c>
      <c r="D59" s="7"/>
      <c r="E59" s="7">
        <v>0.1</v>
      </c>
      <c r="F59" s="7">
        <v>2.15</v>
      </c>
      <c r="G59" s="7"/>
      <c r="H59" s="48"/>
      <c r="J59" s="50">
        <f t="shared" si="12"/>
        <v>5.4687614133611534E-3</v>
      </c>
      <c r="K59" s="8">
        <f t="shared" si="13"/>
        <v>4.9218852720250381E-2</v>
      </c>
      <c r="L59" s="8">
        <f t="shared" si="14"/>
        <v>0.54687614133611528</v>
      </c>
      <c r="M59" s="8">
        <f t="shared" si="15"/>
        <v>4.9218852720250377</v>
      </c>
      <c r="N59" s="6" t="s">
        <v>29</v>
      </c>
      <c r="O59" s="47"/>
    </row>
    <row r="60" spans="1:15" hidden="1" thickBot="1" x14ac:dyDescent="0.35">
      <c r="A60" s="7">
        <v>24</v>
      </c>
      <c r="B60" s="5" t="s">
        <v>14</v>
      </c>
      <c r="C60" s="7"/>
      <c r="D60" s="7"/>
      <c r="E60" s="7"/>
      <c r="F60" s="7">
        <v>2.15</v>
      </c>
      <c r="G60" s="7"/>
      <c r="H60" s="48"/>
      <c r="J60" s="50"/>
      <c r="K60" s="8"/>
      <c r="L60" s="8"/>
      <c r="M60" s="8"/>
      <c r="N60" s="6"/>
      <c r="O60" s="47"/>
    </row>
    <row r="61" spans="1:15" hidden="1" thickBot="1" x14ac:dyDescent="0.35">
      <c r="A61" s="7">
        <v>25</v>
      </c>
      <c r="B61" s="9" t="s">
        <v>15</v>
      </c>
      <c r="C61" s="7">
        <v>2400</v>
      </c>
      <c r="D61" s="7"/>
      <c r="E61" s="7">
        <v>0.1</v>
      </c>
      <c r="F61" s="7">
        <v>2.15</v>
      </c>
      <c r="G61" s="7"/>
      <c r="H61" s="48"/>
      <c r="J61" s="50">
        <f t="shared" ref="J61:J63" si="16">((377*$E61*10^(0.215))/(4*PI()*$J$2^2))</f>
        <v>5.4687614133611534E-3</v>
      </c>
      <c r="K61" s="8">
        <f t="shared" ref="K61:K63" si="17">((377*$E61*10^(0.215))/(4*PI()*$K$2^2))</f>
        <v>4.9218852720250381E-2</v>
      </c>
      <c r="L61" s="8">
        <f t="shared" ref="L61:L63" si="18">((377*$E61*10^(0.215))/(4*PI()*$L$2^2))</f>
        <v>0.54687614133611528</v>
      </c>
      <c r="M61" s="8">
        <f t="shared" ref="M61:M63" si="19">((377*$E61*10^(0.215))/(4*PI()*$M$2^2))</f>
        <v>4.9218852720250377</v>
      </c>
      <c r="N61" s="6"/>
      <c r="O61" s="47"/>
    </row>
    <row r="62" spans="1:15" hidden="1" thickBot="1" x14ac:dyDescent="0.35">
      <c r="A62" s="7">
        <v>26</v>
      </c>
      <c r="B62" s="9" t="s">
        <v>16</v>
      </c>
      <c r="C62" s="7"/>
      <c r="D62" s="7"/>
      <c r="E62" s="7">
        <v>0.25</v>
      </c>
      <c r="F62" s="7">
        <v>2.15</v>
      </c>
      <c r="G62" s="7"/>
      <c r="H62" s="48"/>
      <c r="J62" s="50">
        <f t="shared" si="16"/>
        <v>1.3671903533402882E-2</v>
      </c>
      <c r="K62" s="8">
        <f t="shared" si="17"/>
        <v>0.12304713180062593</v>
      </c>
      <c r="L62" s="8">
        <f t="shared" si="18"/>
        <v>1.3671903533402883</v>
      </c>
      <c r="M62" s="8">
        <f t="shared" si="19"/>
        <v>12.304713180062594</v>
      </c>
      <c r="N62" s="6"/>
      <c r="O62" s="47"/>
    </row>
    <row r="63" spans="1:15" hidden="1" thickBot="1" x14ac:dyDescent="0.35">
      <c r="A63" s="7"/>
      <c r="B63" s="9" t="s">
        <v>17</v>
      </c>
      <c r="C63" s="7">
        <v>2400</v>
      </c>
      <c r="D63" s="7"/>
      <c r="E63" s="7">
        <v>0.1</v>
      </c>
      <c r="F63" s="7">
        <v>2.15</v>
      </c>
      <c r="G63" s="7"/>
      <c r="H63" s="48"/>
      <c r="J63" s="50">
        <f t="shared" si="16"/>
        <v>5.4687614133611534E-3</v>
      </c>
      <c r="K63" s="8">
        <f t="shared" si="17"/>
        <v>4.9218852720250381E-2</v>
      </c>
      <c r="L63" s="8">
        <f t="shared" si="18"/>
        <v>0.54687614133611528</v>
      </c>
      <c r="M63" s="8">
        <f t="shared" si="19"/>
        <v>4.9218852720250377</v>
      </c>
      <c r="N63" s="6"/>
      <c r="O63" s="47"/>
    </row>
    <row r="64" spans="1:15" hidden="1" thickBot="1" x14ac:dyDescent="0.35">
      <c r="A64" s="44"/>
      <c r="B64" s="45"/>
      <c r="C64" s="44"/>
      <c r="D64" s="44"/>
      <c r="E64" s="44"/>
      <c r="F64" s="44"/>
      <c r="G64" s="44"/>
      <c r="H64" s="44"/>
      <c r="J64" s="46"/>
      <c r="K64" s="46"/>
      <c r="L64" s="46"/>
      <c r="M64" s="46"/>
      <c r="N64" s="47"/>
      <c r="O64" s="47"/>
    </row>
    <row r="65" spans="1:208" ht="21.75" customHeight="1" thickBot="1" x14ac:dyDescent="0.45">
      <c r="A65" s="44"/>
      <c r="B65" s="45"/>
      <c r="C65" s="44"/>
      <c r="D65" s="44"/>
      <c r="E65" s="44"/>
      <c r="F65" s="44"/>
      <c r="G65" s="44"/>
      <c r="H65" s="44"/>
      <c r="J65" s="46"/>
      <c r="K65" s="46"/>
      <c r="L65" s="46"/>
      <c r="M65" s="46"/>
      <c r="N65" s="47"/>
      <c r="O65" s="47"/>
      <c r="BH65" s="107" t="s">
        <v>65</v>
      </c>
      <c r="BK65" s="106"/>
      <c r="CG65" s="2"/>
      <c r="CH65" s="2"/>
      <c r="CI65" s="2"/>
      <c r="CJ65" s="2"/>
      <c r="CK65" s="2"/>
      <c r="CL65" s="2" t="s">
        <v>236</v>
      </c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S65" t="s">
        <v>237</v>
      </c>
      <c r="EX65" t="s">
        <v>89</v>
      </c>
      <c r="GD65" t="s">
        <v>238</v>
      </c>
    </row>
    <row r="66" spans="1:208" ht="16.5" customHeight="1" thickBot="1" x14ac:dyDescent="0.35">
      <c r="A66" s="156" t="s">
        <v>186</v>
      </c>
      <c r="B66" s="157"/>
      <c r="C66" s="157"/>
      <c r="D66" s="157"/>
      <c r="E66" s="157"/>
      <c r="F66" s="157"/>
      <c r="G66" s="157"/>
      <c r="H66" s="157"/>
      <c r="I66" s="158"/>
      <c r="J66" s="157"/>
      <c r="K66" s="157"/>
      <c r="L66" s="157"/>
      <c r="M66" s="157"/>
      <c r="N66" s="159"/>
      <c r="O66" s="58"/>
      <c r="P66" s="160"/>
      <c r="Q66" s="160"/>
      <c r="R66" s="160"/>
      <c r="S66" s="160"/>
      <c r="T66" s="2"/>
      <c r="U66" s="2"/>
      <c r="V66" s="59"/>
      <c r="W66" s="151" t="s">
        <v>182</v>
      </c>
      <c r="X66" s="151"/>
      <c r="Y66" s="151"/>
      <c r="Z66" s="151"/>
      <c r="AA66" s="152"/>
      <c r="AB66" t="s">
        <v>241</v>
      </c>
      <c r="BB66" s="156" t="s">
        <v>186</v>
      </c>
      <c r="BC66" s="157"/>
      <c r="BD66" s="157"/>
      <c r="BE66" s="157"/>
      <c r="BF66" s="157"/>
      <c r="BG66" s="157"/>
      <c r="BH66" s="157"/>
      <c r="BI66" s="157"/>
      <c r="BJ66" s="158"/>
      <c r="BK66" s="157"/>
      <c r="BL66" s="157"/>
      <c r="BM66" s="157"/>
      <c r="BN66" s="157"/>
      <c r="BO66" s="159"/>
      <c r="BP66" s="58"/>
      <c r="BQ66" s="160"/>
      <c r="BR66" s="160"/>
      <c r="BS66" s="160"/>
      <c r="BT66" s="160"/>
      <c r="BU66" s="2"/>
      <c r="BV66" s="2"/>
      <c r="BW66" s="59"/>
      <c r="BX66" s="151" t="s">
        <v>182</v>
      </c>
      <c r="BY66" s="151"/>
      <c r="BZ66" s="151"/>
      <c r="CA66" s="151"/>
      <c r="CB66" s="152"/>
      <c r="CG66" s="164" t="s">
        <v>186</v>
      </c>
      <c r="CH66" s="165"/>
      <c r="CI66" s="165"/>
      <c r="CJ66" s="165"/>
      <c r="CK66" s="165"/>
      <c r="CL66" s="165"/>
      <c r="CM66" s="165"/>
      <c r="CN66" s="165"/>
      <c r="CO66" s="166"/>
      <c r="CP66" s="165"/>
      <c r="CQ66" s="165"/>
      <c r="CR66" s="165"/>
      <c r="CS66" s="165"/>
      <c r="CT66" s="167"/>
      <c r="CU66" s="108"/>
      <c r="CV66" s="168"/>
      <c r="CW66" s="168"/>
      <c r="CX66" s="168"/>
      <c r="CY66" s="168"/>
      <c r="CZ66" s="109"/>
      <c r="DA66" s="109"/>
      <c r="DB66" s="110"/>
      <c r="DC66" s="169" t="s">
        <v>182</v>
      </c>
      <c r="DD66" s="169"/>
      <c r="DE66" s="169"/>
      <c r="DF66" s="169"/>
      <c r="DG66" s="170"/>
      <c r="DM66" s="156" t="s">
        <v>186</v>
      </c>
      <c r="DN66" s="157"/>
      <c r="DO66" s="157"/>
      <c r="DP66" s="157"/>
      <c r="DQ66" s="157"/>
      <c r="DR66" s="157"/>
      <c r="DS66" s="157"/>
      <c r="DT66" s="157"/>
      <c r="DU66" s="158"/>
      <c r="DV66" s="157"/>
      <c r="DW66" s="157"/>
      <c r="DX66" s="157"/>
      <c r="DY66" s="157"/>
      <c r="DZ66" s="159"/>
      <c r="EA66" s="58"/>
      <c r="EB66" s="160"/>
      <c r="EC66" s="160"/>
      <c r="ED66" s="160"/>
      <c r="EE66" s="160"/>
      <c r="EF66" s="2"/>
      <c r="EG66" s="2"/>
      <c r="EH66" s="59"/>
      <c r="EI66" s="151" t="s">
        <v>182</v>
      </c>
      <c r="EJ66" s="151"/>
      <c r="EK66" s="151"/>
      <c r="EL66" s="151"/>
      <c r="EM66" s="152"/>
      <c r="ER66" s="156" t="s">
        <v>186</v>
      </c>
      <c r="ES66" s="157"/>
      <c r="ET66" s="157"/>
      <c r="EU66" s="157"/>
      <c r="EV66" s="157"/>
      <c r="EW66" s="157"/>
      <c r="EX66" s="157"/>
      <c r="EY66" s="157"/>
      <c r="EZ66" s="158"/>
      <c r="FA66" s="157"/>
      <c r="FB66" s="157"/>
      <c r="FC66" s="157"/>
      <c r="FD66" s="157"/>
      <c r="FE66" s="159"/>
      <c r="FF66" s="58"/>
      <c r="FG66" s="160"/>
      <c r="FH66" s="160"/>
      <c r="FI66" s="160"/>
      <c r="FJ66" s="160"/>
      <c r="FK66" s="2"/>
      <c r="FL66" s="2"/>
      <c r="FM66" s="59"/>
      <c r="FN66" s="151" t="s">
        <v>182</v>
      </c>
      <c r="FO66" s="151"/>
      <c r="FP66" s="151"/>
      <c r="FQ66" s="151"/>
      <c r="FR66" s="152"/>
      <c r="FW66" s="156" t="s">
        <v>186</v>
      </c>
      <c r="FX66" s="157"/>
      <c r="FY66" s="157"/>
      <c r="FZ66" s="157"/>
      <c r="GA66" s="157"/>
      <c r="GB66" s="157"/>
      <c r="GC66" s="157"/>
      <c r="GD66" s="157"/>
      <c r="GE66" s="158"/>
      <c r="GF66" s="157"/>
      <c r="GG66" s="157"/>
      <c r="GH66" s="157"/>
      <c r="GI66" s="157"/>
      <c r="GJ66" s="159"/>
      <c r="GK66" s="58"/>
      <c r="GL66" s="160"/>
      <c r="GM66" s="160"/>
      <c r="GN66" s="160"/>
      <c r="GO66" s="160"/>
      <c r="GP66" s="2"/>
      <c r="GQ66" s="2"/>
      <c r="GR66" s="59"/>
      <c r="GS66" s="151" t="s">
        <v>182</v>
      </c>
      <c r="GT66" s="151"/>
      <c r="GU66" s="151"/>
      <c r="GV66" s="151"/>
      <c r="GW66" s="152"/>
    </row>
    <row r="67" spans="1:208" ht="165" customHeight="1" x14ac:dyDescent="0.25">
      <c r="A67" s="137" t="s">
        <v>0</v>
      </c>
      <c r="B67" s="137" t="s">
        <v>1</v>
      </c>
      <c r="C67" s="137" t="s">
        <v>10</v>
      </c>
      <c r="D67" s="57" t="s">
        <v>147</v>
      </c>
      <c r="E67" s="137" t="s">
        <v>11</v>
      </c>
      <c r="F67" s="137" t="s">
        <v>12</v>
      </c>
      <c r="G67" s="137" t="s">
        <v>179</v>
      </c>
      <c r="H67" s="137" t="s">
        <v>180</v>
      </c>
      <c r="I67" s="52"/>
      <c r="J67" s="153" t="s">
        <v>28</v>
      </c>
      <c r="K67" s="154"/>
      <c r="L67" s="154"/>
      <c r="M67" s="155"/>
      <c r="N67" s="137" t="s">
        <v>7</v>
      </c>
      <c r="O67" s="52"/>
      <c r="P67" s="153" t="s">
        <v>185</v>
      </c>
      <c r="Q67" s="154"/>
      <c r="R67" s="154"/>
      <c r="S67" s="155"/>
      <c r="T67" s="2"/>
      <c r="U67" s="60" t="s">
        <v>183</v>
      </c>
      <c r="V67" s="54"/>
      <c r="W67" s="53" t="s">
        <v>102</v>
      </c>
      <c r="X67" s="53" t="s">
        <v>105</v>
      </c>
      <c r="Y67" s="53"/>
      <c r="Z67" s="53" t="s">
        <v>104</v>
      </c>
      <c r="AA67" s="53" t="s">
        <v>109</v>
      </c>
      <c r="BB67" s="137" t="s">
        <v>0</v>
      </c>
      <c r="BC67" s="137" t="s">
        <v>1</v>
      </c>
      <c r="BD67" s="137" t="s">
        <v>10</v>
      </c>
      <c r="BE67" s="105" t="s">
        <v>147</v>
      </c>
      <c r="BF67" s="137" t="s">
        <v>11</v>
      </c>
      <c r="BG67" s="137" t="s">
        <v>12</v>
      </c>
      <c r="BH67" s="137" t="s">
        <v>179</v>
      </c>
      <c r="BI67" s="137" t="s">
        <v>180</v>
      </c>
      <c r="BJ67" s="52"/>
      <c r="BK67" s="153" t="s">
        <v>28</v>
      </c>
      <c r="BL67" s="154"/>
      <c r="BM67" s="154"/>
      <c r="BN67" s="155"/>
      <c r="BO67" s="137" t="s">
        <v>7</v>
      </c>
      <c r="BP67" s="52"/>
      <c r="BQ67" s="153" t="s">
        <v>185</v>
      </c>
      <c r="BR67" s="154"/>
      <c r="BS67" s="154"/>
      <c r="BT67" s="155"/>
      <c r="BU67" s="2"/>
      <c r="BV67" s="60" t="s">
        <v>183</v>
      </c>
      <c r="BW67" s="54"/>
      <c r="BX67" s="53" t="s">
        <v>102</v>
      </c>
      <c r="BY67" s="53" t="s">
        <v>105</v>
      </c>
      <c r="BZ67" s="53"/>
      <c r="CA67" s="53" t="s">
        <v>104</v>
      </c>
      <c r="CB67" s="53" t="s">
        <v>109</v>
      </c>
      <c r="CG67" s="171" t="s">
        <v>0</v>
      </c>
      <c r="CH67" s="171" t="s">
        <v>1</v>
      </c>
      <c r="CI67" s="171" t="s">
        <v>10</v>
      </c>
      <c r="CJ67" s="111" t="s">
        <v>147</v>
      </c>
      <c r="CK67" s="171" t="s">
        <v>11</v>
      </c>
      <c r="CL67" s="171" t="s">
        <v>12</v>
      </c>
      <c r="CM67" s="171" t="s">
        <v>179</v>
      </c>
      <c r="CN67" s="171" t="s">
        <v>180</v>
      </c>
      <c r="CO67" s="112"/>
      <c r="CP67" s="172" t="s">
        <v>28</v>
      </c>
      <c r="CQ67" s="173"/>
      <c r="CR67" s="173"/>
      <c r="CS67" s="174"/>
      <c r="CT67" s="171" t="s">
        <v>7</v>
      </c>
      <c r="CU67" s="112"/>
      <c r="CV67" s="172" t="s">
        <v>185</v>
      </c>
      <c r="CW67" s="173"/>
      <c r="CX67" s="173"/>
      <c r="CY67" s="174"/>
      <c r="CZ67" s="109"/>
      <c r="DA67" s="113" t="s">
        <v>183</v>
      </c>
      <c r="DB67" s="114"/>
      <c r="DC67" s="115" t="s">
        <v>102</v>
      </c>
      <c r="DD67" s="115" t="s">
        <v>105</v>
      </c>
      <c r="DE67" s="115"/>
      <c r="DF67" s="115" t="s">
        <v>104</v>
      </c>
      <c r="DG67" s="115" t="s">
        <v>109</v>
      </c>
      <c r="DM67" s="137" t="s">
        <v>0</v>
      </c>
      <c r="DN67" s="137" t="s">
        <v>1</v>
      </c>
      <c r="DO67" s="137" t="s">
        <v>10</v>
      </c>
      <c r="DP67" s="105" t="s">
        <v>147</v>
      </c>
      <c r="DQ67" s="137" t="s">
        <v>11</v>
      </c>
      <c r="DR67" s="137" t="s">
        <v>12</v>
      </c>
      <c r="DS67" s="137" t="s">
        <v>179</v>
      </c>
      <c r="DT67" s="137" t="s">
        <v>180</v>
      </c>
      <c r="DU67" s="52"/>
      <c r="DV67" s="153" t="s">
        <v>28</v>
      </c>
      <c r="DW67" s="154"/>
      <c r="DX67" s="154"/>
      <c r="DY67" s="155"/>
      <c r="DZ67" s="137" t="s">
        <v>7</v>
      </c>
      <c r="EA67" s="52"/>
      <c r="EB67" s="153" t="s">
        <v>185</v>
      </c>
      <c r="EC67" s="154"/>
      <c r="ED67" s="154"/>
      <c r="EE67" s="155"/>
      <c r="EF67" s="2"/>
      <c r="EG67" s="60" t="s">
        <v>183</v>
      </c>
      <c r="EH67" s="54"/>
      <c r="EI67" s="53" t="s">
        <v>102</v>
      </c>
      <c r="EJ67" s="53" t="s">
        <v>105</v>
      </c>
      <c r="EK67" s="53"/>
      <c r="EL67" s="53" t="s">
        <v>104</v>
      </c>
      <c r="EM67" s="53" t="s">
        <v>109</v>
      </c>
      <c r="ER67" s="137" t="s">
        <v>0</v>
      </c>
      <c r="ES67" s="137" t="s">
        <v>1</v>
      </c>
      <c r="ET67" s="137" t="s">
        <v>10</v>
      </c>
      <c r="EU67" s="105" t="s">
        <v>147</v>
      </c>
      <c r="EV67" s="137" t="s">
        <v>11</v>
      </c>
      <c r="EW67" s="137" t="s">
        <v>12</v>
      </c>
      <c r="EX67" s="137" t="s">
        <v>179</v>
      </c>
      <c r="EY67" s="137" t="s">
        <v>180</v>
      </c>
      <c r="EZ67" s="52"/>
      <c r="FA67" s="153" t="s">
        <v>28</v>
      </c>
      <c r="FB67" s="154"/>
      <c r="FC67" s="154"/>
      <c r="FD67" s="155"/>
      <c r="FE67" s="137" t="s">
        <v>7</v>
      </c>
      <c r="FF67" s="52"/>
      <c r="FG67" s="153" t="s">
        <v>185</v>
      </c>
      <c r="FH67" s="154"/>
      <c r="FI67" s="154"/>
      <c r="FJ67" s="155"/>
      <c r="FK67" s="2"/>
      <c r="FL67" s="60" t="s">
        <v>183</v>
      </c>
      <c r="FM67" s="54"/>
      <c r="FN67" s="53" t="s">
        <v>102</v>
      </c>
      <c r="FO67" s="53" t="s">
        <v>105</v>
      </c>
      <c r="FP67" s="53"/>
      <c r="FQ67" s="53" t="s">
        <v>104</v>
      </c>
      <c r="FR67" s="53" t="s">
        <v>109</v>
      </c>
      <c r="FW67" s="137" t="s">
        <v>0</v>
      </c>
      <c r="FX67" s="137" t="s">
        <v>1</v>
      </c>
      <c r="FY67" s="137" t="s">
        <v>10</v>
      </c>
      <c r="FZ67" s="105" t="s">
        <v>147</v>
      </c>
      <c r="GA67" s="137" t="s">
        <v>11</v>
      </c>
      <c r="GB67" s="137" t="s">
        <v>12</v>
      </c>
      <c r="GC67" s="137" t="s">
        <v>179</v>
      </c>
      <c r="GD67" s="137" t="s">
        <v>180</v>
      </c>
      <c r="GE67" s="52"/>
      <c r="GF67" s="153" t="s">
        <v>28</v>
      </c>
      <c r="GG67" s="154"/>
      <c r="GH67" s="154"/>
      <c r="GI67" s="155"/>
      <c r="GJ67" s="137" t="s">
        <v>7</v>
      </c>
      <c r="GK67" s="52"/>
      <c r="GL67" s="153" t="s">
        <v>185</v>
      </c>
      <c r="GM67" s="154"/>
      <c r="GN67" s="154"/>
      <c r="GO67" s="155"/>
      <c r="GP67" s="2"/>
      <c r="GQ67" s="60" t="s">
        <v>183</v>
      </c>
      <c r="GR67" s="54"/>
      <c r="GS67" s="53" t="s">
        <v>102</v>
      </c>
      <c r="GT67" s="53" t="s">
        <v>105</v>
      </c>
      <c r="GU67" s="53"/>
      <c r="GV67" s="53" t="s">
        <v>104</v>
      </c>
      <c r="GW67" s="53" t="s">
        <v>109</v>
      </c>
      <c r="GZ67" t="s">
        <v>243</v>
      </c>
    </row>
    <row r="68" spans="1:208" ht="48" x14ac:dyDescent="0.25">
      <c r="A68" s="137"/>
      <c r="B68" s="137"/>
      <c r="C68" s="137"/>
      <c r="D68" s="57" t="s">
        <v>148</v>
      </c>
      <c r="E68" s="137"/>
      <c r="F68" s="137"/>
      <c r="G68" s="137"/>
      <c r="H68" s="137"/>
      <c r="I68" s="52"/>
      <c r="J68" s="10">
        <v>30</v>
      </c>
      <c r="K68" s="10">
        <v>10</v>
      </c>
      <c r="L68" s="10">
        <v>3</v>
      </c>
      <c r="M68" s="10">
        <v>1</v>
      </c>
      <c r="N68" s="137"/>
      <c r="O68" s="52"/>
      <c r="P68" s="10">
        <v>30</v>
      </c>
      <c r="Q68" s="10">
        <v>10</v>
      </c>
      <c r="R68" s="10">
        <v>3</v>
      </c>
      <c r="S68" s="10">
        <v>1</v>
      </c>
      <c r="T68" s="2"/>
      <c r="U68" s="61" t="s">
        <v>184</v>
      </c>
      <c r="V68" s="2"/>
      <c r="W68" s="76" t="s">
        <v>103</v>
      </c>
      <c r="X68" s="76" t="s">
        <v>108</v>
      </c>
      <c r="Y68" s="3"/>
      <c r="Z68" s="76" t="s">
        <v>103</v>
      </c>
      <c r="AA68" s="76" t="s">
        <v>108</v>
      </c>
      <c r="AC68" s="55"/>
      <c r="BB68" s="137"/>
      <c r="BC68" s="137"/>
      <c r="BD68" s="137"/>
      <c r="BE68" s="105" t="s">
        <v>148</v>
      </c>
      <c r="BF68" s="137"/>
      <c r="BG68" s="137"/>
      <c r="BH68" s="137"/>
      <c r="BI68" s="137"/>
      <c r="BJ68" s="52"/>
      <c r="BK68" s="10">
        <v>30</v>
      </c>
      <c r="BL68" s="10">
        <v>10</v>
      </c>
      <c r="BM68" s="10">
        <v>3</v>
      </c>
      <c r="BN68" s="10">
        <v>1</v>
      </c>
      <c r="BO68" s="137"/>
      <c r="BP68" s="52"/>
      <c r="BQ68" s="10">
        <v>30</v>
      </c>
      <c r="BR68" s="10">
        <v>10</v>
      </c>
      <c r="BS68" s="10">
        <v>3</v>
      </c>
      <c r="BT68" s="10">
        <v>1</v>
      </c>
      <c r="BU68" s="2"/>
      <c r="BV68" s="61" t="s">
        <v>184</v>
      </c>
      <c r="BW68" s="2"/>
      <c r="BX68" s="76" t="s">
        <v>103</v>
      </c>
      <c r="BY68" s="76" t="s">
        <v>108</v>
      </c>
      <c r="BZ68" s="3"/>
      <c r="CA68" s="76" t="s">
        <v>103</v>
      </c>
      <c r="CB68" s="76" t="s">
        <v>108</v>
      </c>
      <c r="CG68" s="171"/>
      <c r="CH68" s="171"/>
      <c r="CI68" s="171"/>
      <c r="CJ68" s="111" t="s">
        <v>148</v>
      </c>
      <c r="CK68" s="171"/>
      <c r="CL68" s="171"/>
      <c r="CM68" s="171"/>
      <c r="CN68" s="171"/>
      <c r="CO68" s="112"/>
      <c r="CP68" s="116">
        <v>30</v>
      </c>
      <c r="CQ68" s="116">
        <v>10</v>
      </c>
      <c r="CR68" s="116">
        <v>3</v>
      </c>
      <c r="CS68" s="116">
        <v>1</v>
      </c>
      <c r="CT68" s="171"/>
      <c r="CU68" s="112"/>
      <c r="CV68" s="116">
        <v>30</v>
      </c>
      <c r="CW68" s="116">
        <v>10</v>
      </c>
      <c r="CX68" s="116">
        <v>3</v>
      </c>
      <c r="CY68" s="116">
        <v>1</v>
      </c>
      <c r="CZ68" s="109"/>
      <c r="DA68" s="117" t="s">
        <v>184</v>
      </c>
      <c r="DB68" s="109"/>
      <c r="DC68" s="118" t="s">
        <v>103</v>
      </c>
      <c r="DD68" s="118" t="s">
        <v>108</v>
      </c>
      <c r="DE68" s="119"/>
      <c r="DF68" s="118" t="s">
        <v>103</v>
      </c>
      <c r="DG68" s="118" t="s">
        <v>108</v>
      </c>
      <c r="DM68" s="137"/>
      <c r="DN68" s="137"/>
      <c r="DO68" s="137"/>
      <c r="DP68" s="105" t="s">
        <v>148</v>
      </c>
      <c r="DQ68" s="137"/>
      <c r="DR68" s="137"/>
      <c r="DS68" s="137"/>
      <c r="DT68" s="137"/>
      <c r="DU68" s="52"/>
      <c r="DV68" s="10">
        <v>30</v>
      </c>
      <c r="DW68" s="10">
        <v>10</v>
      </c>
      <c r="DX68" s="10">
        <v>3</v>
      </c>
      <c r="DY68" s="10">
        <v>1</v>
      </c>
      <c r="DZ68" s="137"/>
      <c r="EA68" s="52"/>
      <c r="EB68" s="10">
        <v>30</v>
      </c>
      <c r="EC68" s="10">
        <v>10</v>
      </c>
      <c r="ED68" s="10">
        <v>3</v>
      </c>
      <c r="EE68" s="10">
        <v>1</v>
      </c>
      <c r="EF68" s="2"/>
      <c r="EG68" s="61" t="s">
        <v>184</v>
      </c>
      <c r="EH68" s="2"/>
      <c r="EI68" s="76" t="s">
        <v>103</v>
      </c>
      <c r="EJ68" s="76" t="s">
        <v>108</v>
      </c>
      <c r="EK68" s="3"/>
      <c r="EL68" s="76" t="s">
        <v>103</v>
      </c>
      <c r="EM68" s="76" t="s">
        <v>108</v>
      </c>
      <c r="ER68" s="137"/>
      <c r="ES68" s="137"/>
      <c r="ET68" s="137"/>
      <c r="EU68" s="105" t="s">
        <v>148</v>
      </c>
      <c r="EV68" s="137"/>
      <c r="EW68" s="137"/>
      <c r="EX68" s="137"/>
      <c r="EY68" s="137"/>
      <c r="EZ68" s="52"/>
      <c r="FA68" s="10">
        <v>30</v>
      </c>
      <c r="FB68" s="10">
        <v>10</v>
      </c>
      <c r="FC68" s="10">
        <v>3</v>
      </c>
      <c r="FD68" s="10">
        <v>1</v>
      </c>
      <c r="FE68" s="137"/>
      <c r="FF68" s="52"/>
      <c r="FG68" s="10">
        <v>30</v>
      </c>
      <c r="FH68" s="10">
        <v>10</v>
      </c>
      <c r="FI68" s="10">
        <v>3</v>
      </c>
      <c r="FJ68" s="10">
        <v>1</v>
      </c>
      <c r="FK68" s="2"/>
      <c r="FL68" s="61" t="s">
        <v>184</v>
      </c>
      <c r="FM68" s="2"/>
      <c r="FN68" s="76" t="s">
        <v>103</v>
      </c>
      <c r="FO68" s="76" t="s">
        <v>108</v>
      </c>
      <c r="FP68" s="3"/>
      <c r="FQ68" s="76" t="s">
        <v>103</v>
      </c>
      <c r="FR68" s="76" t="s">
        <v>108</v>
      </c>
      <c r="FW68" s="137"/>
      <c r="FX68" s="137"/>
      <c r="FY68" s="137"/>
      <c r="FZ68" s="105" t="s">
        <v>148</v>
      </c>
      <c r="GA68" s="137"/>
      <c r="GB68" s="137"/>
      <c r="GC68" s="137"/>
      <c r="GD68" s="137"/>
      <c r="GE68" s="52"/>
      <c r="GF68" s="10">
        <v>30</v>
      </c>
      <c r="GG68" s="10">
        <v>10</v>
      </c>
      <c r="GH68" s="10">
        <v>3</v>
      </c>
      <c r="GI68" s="10">
        <v>1</v>
      </c>
      <c r="GJ68" s="137"/>
      <c r="GK68" s="52"/>
      <c r="GL68" s="10">
        <v>30</v>
      </c>
      <c r="GM68" s="10">
        <v>10</v>
      </c>
      <c r="GN68" s="10">
        <v>3</v>
      </c>
      <c r="GO68" s="10">
        <v>1</v>
      </c>
      <c r="GP68" s="2"/>
      <c r="GQ68" s="61" t="s">
        <v>184</v>
      </c>
      <c r="GR68" s="2"/>
      <c r="GS68" s="76" t="s">
        <v>103</v>
      </c>
      <c r="GT68" s="76" t="s">
        <v>108</v>
      </c>
      <c r="GU68" s="3"/>
      <c r="GV68" s="76" t="s">
        <v>103</v>
      </c>
      <c r="GW68" s="76" t="s">
        <v>108</v>
      </c>
    </row>
    <row r="69" spans="1:208" ht="43.15" x14ac:dyDescent="0.3">
      <c r="A69" s="62">
        <v>1</v>
      </c>
      <c r="B69" s="63" t="s">
        <v>197</v>
      </c>
      <c r="C69" s="62">
        <v>5800</v>
      </c>
      <c r="D69" s="62">
        <v>24</v>
      </c>
      <c r="E69" s="64">
        <f>(10^(D69/10))/1000</f>
        <v>0.25118864315095807</v>
      </c>
      <c r="F69" s="62">
        <v>25</v>
      </c>
      <c r="G69" s="65">
        <f t="shared" ref="G69:G92" si="20">F69+D69</f>
        <v>49</v>
      </c>
      <c r="H69" s="64">
        <f t="shared" ref="H69:H92" si="21">(10^(G69/10))/1000</f>
        <v>79.43282347242824</v>
      </c>
      <c r="I69" s="66"/>
      <c r="J69" s="64">
        <f>((377*$E69*10^(F69/10))/(4*PI()*$J$2^2))^0.5</f>
        <v>1.627213311542048</v>
      </c>
      <c r="K69" s="64">
        <f>((377*$E69*10^(F69/10))/(4*PI()*$K$2^2))^0.5</f>
        <v>4.8816399346261434</v>
      </c>
      <c r="L69" s="64">
        <f>((377*$E69*10^(F69/10))/(4*PI()*$L$2^2))^0.5</f>
        <v>16.27213311542048</v>
      </c>
      <c r="M69" s="64">
        <f>((377*$E69*10^(F69/10))/(4*PI()*$M$2^2))^0.5</f>
        <v>48.816399346261434</v>
      </c>
      <c r="N69" s="56" t="s">
        <v>155</v>
      </c>
      <c r="O69" s="47"/>
      <c r="P69" s="64">
        <f t="shared" ref="P69:P92" si="22">((173*1*(H69)^0.5)/($P$68*1000^0.5))</f>
        <v>1.6252674903625026</v>
      </c>
      <c r="Q69" s="64">
        <f t="shared" ref="Q69:Q92" si="23">((173*1*(H69)^0.5)/($Q$68*1000^0.5))</f>
        <v>4.8758024710875087</v>
      </c>
      <c r="R69" s="64">
        <f t="shared" ref="R69:R92" si="24">((173*1*(H69)^0.5)/($R$68*1000^0.5))</f>
        <v>16.252674903625028</v>
      </c>
      <c r="S69" s="64">
        <f t="shared" ref="S69:S92" si="25">((173*1*(H69)^0.5)/($S$68*1000^0.5))</f>
        <v>48.758024710875084</v>
      </c>
      <c r="T69" s="2"/>
      <c r="U69" s="67">
        <f t="shared" ref="U69:U92" si="26">((450/C69)*H69^0.5)/3.3</f>
        <v>0.20954175661451713</v>
      </c>
      <c r="V69" s="2"/>
      <c r="W69" s="80">
        <f t="shared" ref="W69:W92" si="27">IF(C69&gt;80,0.00625*C69, IF(C69&lt;2, 1/C69,0.5))</f>
        <v>36.25</v>
      </c>
      <c r="X69" s="77">
        <f t="shared" ref="X69:X92" si="28">IF(C69&gt;80,876*((E69*10^(F69/10))^0.5)/C69,IF(C69&lt;2,5.5*C69*(E69*10^(F69/10))^0.5,(10.95*(E69*10^(F69/10))^0.5)))</f>
        <v>1.346096244491658</v>
      </c>
      <c r="Y69" s="78"/>
      <c r="Z69" s="80">
        <f t="shared" ref="Z69:Z92" si="29">IF(C69&gt;80,0.025*C69, IF(C69&lt;2, 4/C69,2))</f>
        <v>145</v>
      </c>
      <c r="AA69" s="77">
        <f t="shared" ref="AA69:AA92" si="30">IF(C69&gt;80,219*((E69*10^(F69/10))^0.5)/C69,IF(C69&lt;2,1.37*C69*(E69*10^(F69/10))^0.5,(2.74*(E69*10^(F69/10))^0.5)))</f>
        <v>0.3365240611229145</v>
      </c>
      <c r="AC69" s="19"/>
      <c r="BB69" s="82">
        <v>6</v>
      </c>
      <c r="BC69" s="69" t="s">
        <v>17</v>
      </c>
      <c r="BD69" s="68">
        <v>2400</v>
      </c>
      <c r="BE69" s="70">
        <f t="shared" ref="BE69" si="31">10*LOG(BF69*1000)</f>
        <v>20</v>
      </c>
      <c r="BF69" s="68">
        <v>0.1</v>
      </c>
      <c r="BG69" s="68">
        <v>0</v>
      </c>
      <c r="BH69" s="70">
        <f t="shared" ref="BH69" si="32">BG69+BE69</f>
        <v>20</v>
      </c>
      <c r="BI69" s="72">
        <f t="shared" ref="BI69" si="33">(10^(BH69/10))/1000</f>
        <v>0.1</v>
      </c>
      <c r="BJ69" s="71"/>
      <c r="BK69" s="64">
        <f t="shared" ref="BK69" si="34">((377*$E69*10^(BG69/10))/(4*PI()*$J$2^2))^0.5</f>
        <v>9.1504928997993104E-2</v>
      </c>
      <c r="BL69" s="64">
        <f t="shared" ref="BL69" si="35">((377*$E69*10^(BG69/10))/(4*PI()*$K$2^2))^0.5</f>
        <v>0.2745147869939793</v>
      </c>
      <c r="BM69" s="64">
        <f t="shared" ref="BM69" si="36">((377*$E69*10^(BG69/10))/(4*PI()*$L$2^2))^0.5</f>
        <v>0.91504928997993107</v>
      </c>
      <c r="BN69" s="64">
        <f t="shared" ref="BN69" si="37">((377*$E69*10^(BG69/10))/(4*PI()*$M$2^2))^0.5</f>
        <v>2.7451478699397933</v>
      </c>
      <c r="BO69" s="6"/>
      <c r="BP69" s="47"/>
      <c r="BQ69" s="73">
        <f t="shared" ref="BQ69" si="38">((173*1*(BI69)^0.5)/($P$68*1000^0.5))</f>
        <v>5.7666666666666665E-2</v>
      </c>
      <c r="BR69" s="73">
        <f t="shared" ref="BR69" si="39">((173*1*(BI69)^0.5)/($Q$68*1000^0.5))</f>
        <v>0.17300000000000001</v>
      </c>
      <c r="BS69" s="73">
        <f t="shared" ref="BS69" si="40">((173*1*(BI69)^0.5)/($R$68*1000^0.5))</f>
        <v>0.57666666666666666</v>
      </c>
      <c r="BT69" s="73">
        <f t="shared" ref="BT69" si="41">((173*1*(BI69)^0.5)/($S$68*1000^0.5))</f>
        <v>1.73</v>
      </c>
      <c r="BU69" s="2"/>
      <c r="BV69" s="74">
        <f t="shared" ref="BV69" si="42">((450/BD69)*BI69^0.5)/3.3</f>
        <v>1.7967486705502154E-2</v>
      </c>
      <c r="BW69" s="2"/>
      <c r="BX69" s="81">
        <f t="shared" ref="BX69" si="43">IF(BD69&gt;80,0.00625*BD69, IF(BD69&lt;2, 1/BD69,0.5))</f>
        <v>15</v>
      </c>
      <c r="BY69" s="79">
        <f t="shared" ref="BY69" si="44">IF(BD69&gt;80,876*((BF69*10^(BG69/10))^0.5)/BD69,IF(BD69&lt;2,5.5*BD69*(BF69*10^(BG69/10))^0.5,(10.95*(BF69*10^(BG69/10))^0.5)))</f>
        <v>0.11542313459614585</v>
      </c>
      <c r="BZ69" s="3"/>
      <c r="CA69" s="81">
        <f t="shared" ref="CA69" si="45">IF(BD69&gt;80,0.025*BD69, IF(BD69&lt;2, 4/BD69,2))</f>
        <v>60</v>
      </c>
      <c r="CB69" s="79">
        <f t="shared" ref="CB69" si="46">IF(BD69&gt;80,219*((BF69*10^(BG69/10))^0.5)/BD69,IF(BD69&lt;2,1.37*BD69*(BF69*10^(BG69/10))^0.5,(2.74*(BF69*10^(BG69/10))^0.5)))</f>
        <v>2.8855783649036463E-2</v>
      </c>
      <c r="CG69" s="120">
        <v>12</v>
      </c>
      <c r="CH69" s="121" t="s">
        <v>15</v>
      </c>
      <c r="CI69" s="122">
        <v>2400</v>
      </c>
      <c r="CJ69" s="123">
        <f t="shared" ref="CJ69:CJ72" si="47">10*LOG(CK69*1000)</f>
        <v>20</v>
      </c>
      <c r="CK69" s="122">
        <v>0.1</v>
      </c>
      <c r="CL69" s="122">
        <v>0</v>
      </c>
      <c r="CM69" s="123">
        <f t="shared" ref="CM69:CM72" si="48">CL69+CJ69</f>
        <v>20</v>
      </c>
      <c r="CN69" s="124">
        <f t="shared" ref="CN69:CN72" si="49">(10^(CM69/10))/1000</f>
        <v>0.1</v>
      </c>
      <c r="CO69" s="125"/>
      <c r="CP69" s="126">
        <f t="shared" ref="CP69:CP72" si="50">((377*$E69*10^(CL69/10))/(4*PI()*$J$2^2))^0.5</f>
        <v>9.1504928997993104E-2</v>
      </c>
      <c r="CQ69" s="126">
        <f t="shared" ref="CQ69:CQ72" si="51">((377*$E69*10^(CL69/10))/(4*PI()*$K$2^2))^0.5</f>
        <v>0.2745147869939793</v>
      </c>
      <c r="CR69" s="126">
        <f t="shared" ref="CR69:CR72" si="52">((377*$E69*10^(CL69/10))/(4*PI()*$L$2^2))^0.5</f>
        <v>0.91504928997993107</v>
      </c>
      <c r="CS69" s="126">
        <f t="shared" ref="CS69:CS72" si="53">((377*$E69*10^(CL69/10))/(4*PI()*$M$2^2))^0.5</f>
        <v>2.7451478699397933</v>
      </c>
      <c r="CT69" s="127"/>
      <c r="CU69" s="128"/>
      <c r="CV69" s="129">
        <f t="shared" ref="CV69:CV72" si="54">((173*1*(CN69)^0.5)/($P$68*1000^0.5))</f>
        <v>5.7666666666666665E-2</v>
      </c>
      <c r="CW69" s="129">
        <f t="shared" ref="CW69:CW72" si="55">((173*1*(CN69)^0.5)/($Q$68*1000^0.5))</f>
        <v>0.17300000000000001</v>
      </c>
      <c r="CX69" s="129">
        <f t="shared" ref="CX69:CX72" si="56">((173*1*(CN69)^0.5)/($R$68*1000^0.5))</f>
        <v>0.57666666666666666</v>
      </c>
      <c r="CY69" s="129">
        <f t="shared" ref="CY69:CY72" si="57">((173*1*(CN69)^0.5)/($S$68*1000^0.5))</f>
        <v>1.73</v>
      </c>
      <c r="CZ69" s="109"/>
      <c r="DA69" s="130">
        <f t="shared" ref="DA69:DA72" si="58">((450/CI69)*CN69^0.5)/3.3</f>
        <v>1.7967486705502154E-2</v>
      </c>
      <c r="DB69" s="109"/>
      <c r="DC69" s="131">
        <f t="shared" ref="DC69:DC72" si="59">IF(CI69&gt;80,0.00625*CI69, IF(CI69&lt;2, 1/CI69,0.5))</f>
        <v>15</v>
      </c>
      <c r="DD69" s="132">
        <f t="shared" ref="DD69:DD72" si="60">IF(CI69&gt;80,876*((CK69*10^(CL69/10))^0.5)/CI69,IF(CI69&lt;2,5.5*CI69*(CK69*10^(CL69/10))^0.5,(10.95*(CK69*10^(CL69/10))^0.5)))</f>
        <v>0.11542313459614585</v>
      </c>
      <c r="DE69" s="119"/>
      <c r="DF69" s="131">
        <f t="shared" ref="DF69:DF72" si="61">IF(CI69&gt;80,0.025*CI69, IF(CI69&lt;2, 4/CI69,2))</f>
        <v>60</v>
      </c>
      <c r="DG69" s="132">
        <f t="shared" ref="DG69:DG72" si="62">IF(CI69&gt;80,219*((CK69*10^(CL69/10))^0.5)/CI69,IF(CI69&lt;2,1.37*CI69*(CK69*10^(CL69/10))^0.5,(2.74*(CK69*10^(CL69/10))^0.5)))</f>
        <v>2.8855783649036463E-2</v>
      </c>
      <c r="DM69" s="62">
        <v>7</v>
      </c>
      <c r="DN69" s="69" t="s">
        <v>16</v>
      </c>
      <c r="DO69" s="68">
        <v>900</v>
      </c>
      <c r="DP69" s="70">
        <f t="shared" ref="DP69:DP73" si="63">10*LOG(DQ69*1000)</f>
        <v>23.979400086720375</v>
      </c>
      <c r="DQ69" s="68">
        <v>0.25</v>
      </c>
      <c r="DR69" s="68">
        <v>0</v>
      </c>
      <c r="DS69" s="70">
        <f t="shared" ref="DS69:DS73" si="64">DR69+DP69</f>
        <v>23.979400086720375</v>
      </c>
      <c r="DT69" s="72">
        <f t="shared" ref="DT69:DT73" si="65">(10^(DS69/10))/1000</f>
        <v>0.25000000000000011</v>
      </c>
      <c r="DU69" s="71"/>
      <c r="DV69" s="64">
        <f t="shared" ref="DV69:DV73" si="66">((377*$E69*10^(DR69/10))/(4*PI()*$J$2^2))^0.5</f>
        <v>9.1504928997993104E-2</v>
      </c>
      <c r="DW69" s="64">
        <f t="shared" ref="DW69:DW73" si="67">((377*$E69*10^(DR69/10))/(4*PI()*$K$2^2))^0.5</f>
        <v>0.2745147869939793</v>
      </c>
      <c r="DX69" s="64">
        <f t="shared" ref="DX69:DX73" si="68">((377*$E69*10^(DR69/10))/(4*PI()*$L$2^2))^0.5</f>
        <v>0.91504928997993107</v>
      </c>
      <c r="DY69" s="64">
        <f t="shared" ref="DY69:DY73" si="69">((377*$E69*10^(DR69/10))/(4*PI()*$M$2^2))^0.5</f>
        <v>2.7451478699397933</v>
      </c>
      <c r="DZ69" s="6"/>
      <c r="EA69" s="47"/>
      <c r="EB69" s="73">
        <f t="shared" ref="EB69:EB73" si="70">((173*1*(DT69)^0.5)/($P$68*1000^0.5))</f>
        <v>9.1179005868188279E-2</v>
      </c>
      <c r="EC69" s="73">
        <f t="shared" ref="EC69:EC73" si="71">((173*1*(DT69)^0.5)/($Q$68*1000^0.5))</f>
        <v>0.27353701760456489</v>
      </c>
      <c r="ED69" s="73">
        <f t="shared" ref="ED69:ED73" si="72">((173*1*(DT69)^0.5)/($R$68*1000^0.5))</f>
        <v>0.9117900586818829</v>
      </c>
      <c r="EE69" s="73">
        <f t="shared" ref="EE69:EE73" si="73">((173*1*(DT69)^0.5)/($S$68*1000^0.5))</f>
        <v>2.7353701760456488</v>
      </c>
      <c r="EF69" s="2"/>
      <c r="EG69" s="74">
        <f t="shared" ref="EG69:EG73" si="74">((450/DO69)*DT69^0.5)/3.3</f>
        <v>7.5757575757575774E-2</v>
      </c>
      <c r="EH69" s="2"/>
      <c r="EI69" s="81">
        <f t="shared" ref="EI69:EI73" si="75">IF(DO69&gt;80,0.00625*DO69, IF(DO69&lt;2, 1/DO69,0.5))</f>
        <v>5.625</v>
      </c>
      <c r="EJ69" s="79">
        <f t="shared" ref="EJ69:EJ73" si="76">IF(DO69&gt;80,876*((DQ69*10^(DR69/10))^0.5)/DO69,IF(DO69&lt;2,5.5*DO69*(DQ69*10^(DR69/10))^0.5,(10.95*(DQ69*10^(DR69/10))^0.5)))</f>
        <v>0.48666666666666669</v>
      </c>
      <c r="EK69" s="3"/>
      <c r="EL69" s="81">
        <f t="shared" ref="EL69:EL73" si="77">IF(DO69&gt;80,0.025*DO69, IF(DO69&lt;2, 4/DO69,2))</f>
        <v>22.5</v>
      </c>
      <c r="EM69" s="79">
        <f t="shared" ref="EM69:EM73" si="78">IF(DO69&gt;80,219*((DQ69*10^(DR69/10))^0.5)/DO69,IF(DO69&lt;2,1.37*DO69*(DQ69*10^(DR69/10))^0.5,(2.74*(DQ69*10^(DR69/10))^0.5)))</f>
        <v>0.12166666666666667</v>
      </c>
      <c r="ER69" s="62">
        <v>16</v>
      </c>
      <c r="ES69" s="6" t="s">
        <v>187</v>
      </c>
      <c r="ET69" s="68">
        <v>155</v>
      </c>
      <c r="EU69" s="70">
        <f t="shared" ref="EU69:EU75" si="79">10*LOG(EV69*1000)</f>
        <v>30</v>
      </c>
      <c r="EV69" s="68">
        <v>1</v>
      </c>
      <c r="EW69" s="68">
        <v>0</v>
      </c>
      <c r="EX69" s="70">
        <f t="shared" ref="EX69:EX75" si="80">EW69+EU69</f>
        <v>30</v>
      </c>
      <c r="EY69" s="72">
        <f t="shared" ref="EY69:EY75" si="81">(10^(EX69/10))/1000</f>
        <v>1</v>
      </c>
      <c r="EZ69" s="71"/>
      <c r="FA69" s="64">
        <f t="shared" ref="FA69:FA75" si="82">((377*$E69*10^(EW69/10))/(4*PI()*$J$2^2))^0.5</f>
        <v>9.1504928997993104E-2</v>
      </c>
      <c r="FB69" s="64">
        <f t="shared" ref="FB69:FB75" si="83">((377*$E69*10^(EW69/10))/(4*PI()*$K$2^2))^0.5</f>
        <v>0.2745147869939793</v>
      </c>
      <c r="FC69" s="64">
        <f t="shared" ref="FC69:FC75" si="84">((377*$E69*10^(EW69/10))/(4*PI()*$L$2^2))^0.5</f>
        <v>0.91504928997993107</v>
      </c>
      <c r="FD69" s="64">
        <f t="shared" ref="FD69:FD75" si="85">((377*$E69*10^(EW69/10))/(4*PI()*$M$2^2))^0.5</f>
        <v>2.7451478699397933</v>
      </c>
      <c r="FE69" s="6"/>
      <c r="FF69" s="47"/>
      <c r="FG69" s="73">
        <f t="shared" ref="FG69:FG75" si="86">((173*1*(EY69)^0.5)/($P$68*1000^0.5))</f>
        <v>0.18235801173637653</v>
      </c>
      <c r="FH69" s="73">
        <f t="shared" ref="FH69:FH75" si="87">((173*1*(EY69)^0.5)/($Q$68*1000^0.5))</f>
        <v>0.54707403520912967</v>
      </c>
      <c r="FI69" s="73">
        <f t="shared" ref="FI69:FI75" si="88">((173*1*(EY69)^0.5)/($R$68*1000^0.5))</f>
        <v>1.8235801173637656</v>
      </c>
      <c r="FJ69" s="73">
        <f t="shared" ref="FJ69:FJ75" si="89">((173*1*(EY69)^0.5)/($S$68*1000^0.5))</f>
        <v>5.4707403520912967</v>
      </c>
      <c r="FK69" s="2"/>
      <c r="FL69" s="74">
        <f t="shared" ref="FL69:FL75" si="90">((450/ET69)*EY69^0.5)/3.3</f>
        <v>0.87976539589442826</v>
      </c>
      <c r="FM69" s="2"/>
      <c r="FN69" s="81">
        <f t="shared" ref="FN69:FN75" si="91">IF(ET69&gt;80,0.00625*ET69, IF(ET69&lt;2, 1/ET69,0.5))</f>
        <v>0.96875</v>
      </c>
      <c r="FO69" s="79">
        <f t="shared" ref="FO69:FO75" si="92">IF(ET69&gt;80,876*((EV69*10^(EW69/10))^0.5)/ET69,IF(ET69&lt;2,5.5*ET69*(EV69*10^(EW69/10))^0.5,(10.95*(EV69*10^(EW69/10))^0.5)))</f>
        <v>5.6516129032258062</v>
      </c>
      <c r="FP69" s="3"/>
      <c r="FQ69" s="81">
        <f t="shared" ref="FQ69:FQ75" si="93">IF(ET69&gt;80,0.025*ET69, IF(ET69&lt;2, 4/ET69,2))</f>
        <v>3.875</v>
      </c>
      <c r="FR69" s="79">
        <f t="shared" ref="FR69:FR75" si="94">IF(ET69&gt;80,219*((EV69*10^(EW69/10))^0.5)/ET69,IF(ET69&lt;2,1.37*ET69*(EV69*10^(EW69/10))^0.5,(2.74*(EV69*10^(EW69/10))^0.5)))</f>
        <v>1.4129032258064516</v>
      </c>
      <c r="FW69" s="62">
        <v>1</v>
      </c>
      <c r="FX69" s="63" t="s">
        <v>197</v>
      </c>
      <c r="FY69" s="62">
        <v>5800</v>
      </c>
      <c r="FZ69" s="62">
        <v>24</v>
      </c>
      <c r="GA69" s="64">
        <f>(10^(FZ69/10))/1000</f>
        <v>0.25118864315095807</v>
      </c>
      <c r="GB69" s="62">
        <v>25</v>
      </c>
      <c r="GC69" s="65">
        <f t="shared" ref="GC69:GC74" si="95">GB69+FZ69</f>
        <v>49</v>
      </c>
      <c r="GD69" s="64">
        <f t="shared" ref="GD69:GD74" si="96">(10^(GC69/10))/1000</f>
        <v>79.43282347242824</v>
      </c>
      <c r="GE69" s="66"/>
      <c r="GF69" s="64">
        <f>((377*$E69*10^(GB69/10))/(4*PI()*$J$2^2))^0.5</f>
        <v>1.627213311542048</v>
      </c>
      <c r="GG69" s="64">
        <f>((377*$E69*10^(GB69/10))/(4*PI()*$K$2^2))^0.5</f>
        <v>4.8816399346261434</v>
      </c>
      <c r="GH69" s="64">
        <f>((377*$E69*10^(GB69/10))/(4*PI()*$L$2^2))^0.5</f>
        <v>16.27213311542048</v>
      </c>
      <c r="GI69" s="64">
        <f>((377*$E69*10^(GB69/10))/(4*PI()*$M$2^2))^0.5</f>
        <v>48.816399346261434</v>
      </c>
      <c r="GJ69" s="56" t="s">
        <v>155</v>
      </c>
      <c r="GK69" s="47"/>
      <c r="GL69" s="64">
        <f t="shared" ref="GL69:GL74" si="97">((173*1*(GD69)^0.5)/($P$68*1000^0.5))</f>
        <v>1.6252674903625026</v>
      </c>
      <c r="GM69" s="64">
        <f t="shared" ref="GM69:GM74" si="98">((173*1*(GD69)^0.5)/($Q$68*1000^0.5))</f>
        <v>4.8758024710875087</v>
      </c>
      <c r="GN69" s="64">
        <f t="shared" ref="GN69:GN74" si="99">((173*1*(GD69)^0.5)/($R$68*1000^0.5))</f>
        <v>16.252674903625028</v>
      </c>
      <c r="GO69" s="64">
        <f t="shared" ref="GO69:GO74" si="100">((173*1*(GD69)^0.5)/($S$68*1000^0.5))</f>
        <v>48.758024710875084</v>
      </c>
      <c r="GP69" s="2"/>
      <c r="GQ69" s="67">
        <f t="shared" ref="GQ69:GQ74" si="101">((450/FY69)*GD69^0.5)/3.3</f>
        <v>0.20954175661451713</v>
      </c>
      <c r="GR69" s="2"/>
      <c r="GS69" s="80">
        <f t="shared" ref="GS69:GS74" si="102">IF(FY69&gt;80,0.00625*FY69, IF(FY69&lt;2, 1/FY69,0.5))</f>
        <v>36.25</v>
      </c>
      <c r="GT69" s="77">
        <f t="shared" ref="GT69:GT74" si="103">IF(FY69&gt;80,876*((GA69*10^(GB69/10))^0.5)/FY69,IF(FY69&lt;2,5.5*FY69*(GA69*10^(GB69/10))^0.5,(10.95*(GA69*10^(GB69/10))^0.5)))</f>
        <v>1.346096244491658</v>
      </c>
      <c r="GU69" s="78"/>
      <c r="GV69" s="80">
        <f t="shared" ref="GV69:GV74" si="104">IF(FY69&gt;80,0.025*FY69, IF(FY69&lt;2, 4/FY69,2))</f>
        <v>145</v>
      </c>
      <c r="GW69" s="77">
        <f t="shared" ref="GW69:GW74" si="105">IF(FY69&gt;80,219*((GA69*10^(GB69/10))^0.5)/FY69,IF(FY69&lt;2,1.37*FY69*(GA69*10^(GB69/10))^0.5,(2.74*(GA69*10^(GB69/10))^0.5)))</f>
        <v>0.3365240611229145</v>
      </c>
    </row>
    <row r="70" spans="1:208" ht="57.6" x14ac:dyDescent="0.3">
      <c r="A70" s="82">
        <v>2</v>
      </c>
      <c r="B70" s="83" t="s">
        <v>198</v>
      </c>
      <c r="C70" s="82">
        <v>433.9</v>
      </c>
      <c r="D70" s="82">
        <v>10</v>
      </c>
      <c r="E70" s="73">
        <f>(10^(D70/10))/1000</f>
        <v>0.01</v>
      </c>
      <c r="F70" s="82">
        <v>0</v>
      </c>
      <c r="G70" s="70">
        <f t="shared" si="20"/>
        <v>10</v>
      </c>
      <c r="H70" s="72">
        <f t="shared" si="21"/>
        <v>0.01</v>
      </c>
      <c r="I70" s="84"/>
      <c r="J70" s="64">
        <f t="shared" ref="J70:J92" si="106">((377*$E70*10^(F70/10))/(4*PI()*$J$2^2))^0.5</f>
        <v>1.8257633646359867E-2</v>
      </c>
      <c r="K70" s="64">
        <f t="shared" ref="K70:K92" si="107">((377*$E70*10^(F70/10))/(4*PI()*$K$2^2))^0.5</f>
        <v>5.4772900939079598E-2</v>
      </c>
      <c r="L70" s="64">
        <f t="shared" ref="L70:L92" si="108">((377*$E70*10^(F70/10))/(4*PI()*$L$2^2))^0.5</f>
        <v>0.18257633646359869</v>
      </c>
      <c r="M70" s="64">
        <f t="shared" ref="M70:M92" si="109">((377*$E70*10^(F70/10))/(4*PI()*$M$2^2))^0.5</f>
        <v>0.54772900939079605</v>
      </c>
      <c r="N70" s="75" t="s">
        <v>155</v>
      </c>
      <c r="O70" s="59"/>
      <c r="P70" s="73">
        <f t="shared" ref="P70" si="110">((173*1*(H70)^0.5)/($P$68*1000^0.5))</f>
        <v>1.8235801173637656E-2</v>
      </c>
      <c r="Q70" s="73">
        <f t="shared" ref="Q70" si="111">((173*1*(H70)^0.5)/($Q$68*1000^0.5))</f>
        <v>5.4707403520912967E-2</v>
      </c>
      <c r="R70" s="73">
        <f t="shared" ref="R70" si="112">((173*1*(H70)^0.5)/($R$68*1000^0.5))</f>
        <v>0.18235801173637656</v>
      </c>
      <c r="S70" s="73">
        <f t="shared" ref="S70" si="113">((173*1*(H70)^0.5)/($S$68*1000^0.5))</f>
        <v>0.54707403520912967</v>
      </c>
      <c r="T70" s="85"/>
      <c r="U70" s="74">
        <f t="shared" ref="U70" si="114">((450/C70)*H70^0.5)/3.3</f>
        <v>3.1427434054767549E-2</v>
      </c>
      <c r="V70" s="85"/>
      <c r="W70" s="86">
        <f t="shared" ref="W70" si="115">IF(C70&gt;80,0.00625*C70, IF(C70&lt;2, 1/C70,0.5))</f>
        <v>2.711875</v>
      </c>
      <c r="X70" s="87">
        <f t="shared" ref="X70" si="116">IF(C70&gt;80,876*((E70*10^(F70/10))^0.5)/C70,IF(C70&lt;2,5.5*C70*(E70*10^(F70/10))^0.5,(10.95*(E70*10^(F70/10))^0.5)))</f>
        <v>0.20188983636782673</v>
      </c>
      <c r="Y70" s="88"/>
      <c r="Z70" s="86">
        <f t="shared" ref="Z70" si="117">IF(C70&gt;80,0.025*C70, IF(C70&lt;2, 4/C70,2))</f>
        <v>10.8475</v>
      </c>
      <c r="AA70" s="87">
        <f t="shared" ref="AA70" si="118">IF(C70&gt;80,219*((E70*10^(F70/10))^0.5)/C70,IF(C70&lt;2,1.37*C70*(E70*10^(F70/10))^0.5,(2.74*(E70*10^(F70/10))^0.5)))</f>
        <v>5.0472459091956683E-2</v>
      </c>
      <c r="AC70" s="19"/>
      <c r="CG70" s="133">
        <v>13</v>
      </c>
      <c r="CH70" s="134" t="s">
        <v>247</v>
      </c>
      <c r="CI70" s="122">
        <v>5800</v>
      </c>
      <c r="CJ70" s="122">
        <f t="shared" si="47"/>
        <v>30</v>
      </c>
      <c r="CK70" s="122">
        <v>1</v>
      </c>
      <c r="CL70" s="122">
        <v>0</v>
      </c>
      <c r="CM70" s="123">
        <f t="shared" si="48"/>
        <v>30</v>
      </c>
      <c r="CN70" s="124">
        <f t="shared" si="49"/>
        <v>1</v>
      </c>
      <c r="CO70" s="125"/>
      <c r="CP70" s="126">
        <f t="shared" si="50"/>
        <v>1.8257633646359867E-2</v>
      </c>
      <c r="CQ70" s="126">
        <f t="shared" si="51"/>
        <v>5.4772900939079598E-2</v>
      </c>
      <c r="CR70" s="126">
        <f t="shared" si="52"/>
        <v>0.18257633646359869</v>
      </c>
      <c r="CS70" s="126">
        <f t="shared" si="53"/>
        <v>0.54772900939079605</v>
      </c>
      <c r="CT70" s="127"/>
      <c r="CU70" s="128"/>
      <c r="CV70" s="129">
        <f t="shared" si="54"/>
        <v>0.18235801173637653</v>
      </c>
      <c r="CW70" s="129">
        <f t="shared" si="55"/>
        <v>0.54707403520912967</v>
      </c>
      <c r="CX70" s="129">
        <f t="shared" si="56"/>
        <v>1.8235801173637656</v>
      </c>
      <c r="CY70" s="129">
        <f t="shared" si="57"/>
        <v>5.4707403520912967</v>
      </c>
      <c r="CZ70" s="109"/>
      <c r="DA70" s="130">
        <f t="shared" si="58"/>
        <v>2.3510971786833857E-2</v>
      </c>
      <c r="DB70" s="109"/>
      <c r="DC70" s="131">
        <f t="shared" si="59"/>
        <v>36.25</v>
      </c>
      <c r="DD70" s="132">
        <f t="shared" si="60"/>
        <v>0.15103448275862069</v>
      </c>
      <c r="DE70" s="119"/>
      <c r="DF70" s="131">
        <f t="shared" si="61"/>
        <v>145</v>
      </c>
      <c r="DG70" s="132">
        <f t="shared" si="62"/>
        <v>3.7758620689655173E-2</v>
      </c>
      <c r="DM70" s="82">
        <v>8</v>
      </c>
      <c r="DN70" s="6" t="s">
        <v>5</v>
      </c>
      <c r="DO70" s="68">
        <v>900</v>
      </c>
      <c r="DP70" s="70">
        <f t="shared" si="63"/>
        <v>33.010299956639813</v>
      </c>
      <c r="DQ70" s="68">
        <v>2</v>
      </c>
      <c r="DR70" s="68">
        <v>0</v>
      </c>
      <c r="DS70" s="70">
        <f t="shared" si="64"/>
        <v>33.010299956639813</v>
      </c>
      <c r="DT70" s="72">
        <f t="shared" si="65"/>
        <v>2.0000000000000018</v>
      </c>
      <c r="DU70" s="71"/>
      <c r="DV70" s="64">
        <f t="shared" si="66"/>
        <v>1.8257633646359867E-2</v>
      </c>
      <c r="DW70" s="64">
        <f t="shared" si="67"/>
        <v>5.4772900939079598E-2</v>
      </c>
      <c r="DX70" s="64">
        <f t="shared" si="68"/>
        <v>0.18257633646359869</v>
      </c>
      <c r="DY70" s="64">
        <f t="shared" si="69"/>
        <v>0.54772900939079605</v>
      </c>
      <c r="DZ70" s="6"/>
      <c r="EA70" s="47"/>
      <c r="EB70" s="73">
        <f t="shared" si="70"/>
        <v>0.25789317340497586</v>
      </c>
      <c r="EC70" s="73">
        <f t="shared" si="71"/>
        <v>0.77367952021492759</v>
      </c>
      <c r="ED70" s="73">
        <f t="shared" si="72"/>
        <v>2.5789317340497586</v>
      </c>
      <c r="EE70" s="73">
        <f t="shared" si="73"/>
        <v>7.7367952021492759</v>
      </c>
      <c r="EF70" s="2"/>
      <c r="EG70" s="74">
        <f t="shared" si="74"/>
        <v>0.21427478217774176</v>
      </c>
      <c r="EH70" s="2"/>
      <c r="EI70" s="81">
        <f t="shared" si="75"/>
        <v>5.625</v>
      </c>
      <c r="EJ70" s="79">
        <f t="shared" si="76"/>
        <v>1.3765012007098125</v>
      </c>
      <c r="EK70" s="3"/>
      <c r="EL70" s="81">
        <f t="shared" si="77"/>
        <v>22.5</v>
      </c>
      <c r="EM70" s="79">
        <f t="shared" si="78"/>
        <v>0.34412530017745313</v>
      </c>
      <c r="ER70" s="82">
        <v>17</v>
      </c>
      <c r="ES70" s="6" t="s">
        <v>188</v>
      </c>
      <c r="ET70" s="68">
        <v>436</v>
      </c>
      <c r="EU70" s="70">
        <f t="shared" si="79"/>
        <v>36.020599913279625</v>
      </c>
      <c r="EV70" s="68">
        <v>4</v>
      </c>
      <c r="EW70" s="68">
        <v>0</v>
      </c>
      <c r="EX70" s="70">
        <f t="shared" si="80"/>
        <v>36.020599913279625</v>
      </c>
      <c r="EY70" s="72">
        <f t="shared" si="81"/>
        <v>4.0000000000000071</v>
      </c>
      <c r="EZ70" s="71"/>
      <c r="FA70" s="64">
        <f t="shared" si="82"/>
        <v>1.8257633646359867E-2</v>
      </c>
      <c r="FB70" s="64">
        <f t="shared" si="83"/>
        <v>5.4772900939079598E-2</v>
      </c>
      <c r="FC70" s="64">
        <f t="shared" si="84"/>
        <v>0.18257633646359869</v>
      </c>
      <c r="FD70" s="64">
        <f t="shared" si="85"/>
        <v>0.54772900939079605</v>
      </c>
      <c r="FE70" s="6"/>
      <c r="FF70" s="47"/>
      <c r="FG70" s="73">
        <f t="shared" si="86"/>
        <v>0.36471602347275339</v>
      </c>
      <c r="FH70" s="73">
        <f t="shared" si="87"/>
        <v>1.0941480704182602</v>
      </c>
      <c r="FI70" s="73">
        <f t="shared" si="88"/>
        <v>3.6471602347275343</v>
      </c>
      <c r="FJ70" s="73">
        <f t="shared" si="89"/>
        <v>10.941480704182602</v>
      </c>
      <c r="FK70" s="2"/>
      <c r="FL70" s="74">
        <f t="shared" si="90"/>
        <v>0.62552126772310312</v>
      </c>
      <c r="FM70" s="2"/>
      <c r="FN70" s="81">
        <f t="shared" si="91"/>
        <v>2.7250000000000001</v>
      </c>
      <c r="FO70" s="79">
        <f t="shared" si="92"/>
        <v>4.0183486238532113</v>
      </c>
      <c r="FP70" s="3"/>
      <c r="FQ70" s="81">
        <f t="shared" si="93"/>
        <v>10.9</v>
      </c>
      <c r="FR70" s="79">
        <f t="shared" si="94"/>
        <v>1.0045871559633028</v>
      </c>
      <c r="FW70" s="82">
        <v>2</v>
      </c>
      <c r="FX70" s="83" t="s">
        <v>198</v>
      </c>
      <c r="FY70" s="82">
        <v>433.9</v>
      </c>
      <c r="FZ70" s="82">
        <v>10</v>
      </c>
      <c r="GA70" s="73">
        <f>(10^(FZ70/10))/1000</f>
        <v>0.01</v>
      </c>
      <c r="GB70" s="82">
        <v>0</v>
      </c>
      <c r="GC70" s="70">
        <f t="shared" si="95"/>
        <v>10</v>
      </c>
      <c r="GD70" s="72">
        <f t="shared" si="96"/>
        <v>0.01</v>
      </c>
      <c r="GE70" s="84"/>
      <c r="GF70" s="64">
        <f t="shared" ref="GF70:GF74" si="119">((377*$E70*10^(GB70/10))/(4*PI()*$J$2^2))^0.5</f>
        <v>1.8257633646359867E-2</v>
      </c>
      <c r="GG70" s="64">
        <f t="shared" ref="GG70:GG74" si="120">((377*$E70*10^(GB70/10))/(4*PI()*$K$2^2))^0.5</f>
        <v>5.4772900939079598E-2</v>
      </c>
      <c r="GH70" s="64">
        <f t="shared" ref="GH70:GH74" si="121">((377*$E70*10^(GB70/10))/(4*PI()*$L$2^2))^0.5</f>
        <v>0.18257633646359869</v>
      </c>
      <c r="GI70" s="64">
        <f t="shared" ref="GI70:GI74" si="122">((377*$E70*10^(GB70/10))/(4*PI()*$M$2^2))^0.5</f>
        <v>0.54772900939079605</v>
      </c>
      <c r="GJ70" s="75" t="s">
        <v>155</v>
      </c>
      <c r="GK70" s="59"/>
      <c r="GL70" s="73">
        <f t="shared" si="97"/>
        <v>1.8235801173637656E-2</v>
      </c>
      <c r="GM70" s="73">
        <f t="shared" si="98"/>
        <v>5.4707403520912967E-2</v>
      </c>
      <c r="GN70" s="73">
        <f t="shared" si="99"/>
        <v>0.18235801173637656</v>
      </c>
      <c r="GO70" s="73">
        <f t="shared" si="100"/>
        <v>0.54707403520912967</v>
      </c>
      <c r="GP70" s="85"/>
      <c r="GQ70" s="74">
        <f t="shared" si="101"/>
        <v>3.1427434054767549E-2</v>
      </c>
      <c r="GR70" s="85"/>
      <c r="GS70" s="86">
        <f t="shared" si="102"/>
        <v>2.711875</v>
      </c>
      <c r="GT70" s="87">
        <f t="shared" si="103"/>
        <v>0.20188983636782673</v>
      </c>
      <c r="GU70" s="88"/>
      <c r="GV70" s="86">
        <f t="shared" si="104"/>
        <v>10.8475</v>
      </c>
      <c r="GW70" s="87">
        <f t="shared" si="105"/>
        <v>5.0472459091956683E-2</v>
      </c>
    </row>
    <row r="71" spans="1:208" ht="57.6" x14ac:dyDescent="0.3">
      <c r="A71" s="82">
        <v>3</v>
      </c>
      <c r="B71" s="83" t="s">
        <v>195</v>
      </c>
      <c r="C71" s="82">
        <v>900</v>
      </c>
      <c r="D71" s="82">
        <v>30</v>
      </c>
      <c r="E71" s="73">
        <f>(10^(D71/10))/1000</f>
        <v>1</v>
      </c>
      <c r="F71" s="82">
        <v>0</v>
      </c>
      <c r="G71" s="70">
        <f t="shared" ref="G71" si="123">F71+D71</f>
        <v>30</v>
      </c>
      <c r="H71" s="72">
        <f t="shared" ref="H71" si="124">(10^(G71/10))/1000</f>
        <v>1</v>
      </c>
      <c r="I71" s="84"/>
      <c r="J71" s="64">
        <f t="shared" si="106"/>
        <v>0.18257633646359869</v>
      </c>
      <c r="K71" s="64">
        <f t="shared" si="107"/>
        <v>0.54772900939079605</v>
      </c>
      <c r="L71" s="64">
        <f t="shared" si="108"/>
        <v>1.8257633646359868</v>
      </c>
      <c r="M71" s="64">
        <f t="shared" si="109"/>
        <v>5.4772900939079605</v>
      </c>
      <c r="N71" s="75" t="s">
        <v>155</v>
      </c>
      <c r="O71" s="59"/>
      <c r="P71" s="73">
        <f t="shared" ref="P71" si="125">((173*1*(H71)^0.5)/($P$68*1000^0.5))</f>
        <v>0.18235801173637653</v>
      </c>
      <c r="Q71" s="73">
        <f t="shared" ref="Q71" si="126">((173*1*(H71)^0.5)/($Q$68*1000^0.5))</f>
        <v>0.54707403520912967</v>
      </c>
      <c r="R71" s="73">
        <f t="shared" ref="R71" si="127">((173*1*(H71)^0.5)/($R$68*1000^0.5))</f>
        <v>1.8235801173637656</v>
      </c>
      <c r="S71" s="73">
        <f t="shared" ref="S71" si="128">((173*1*(H71)^0.5)/($S$68*1000^0.5))</f>
        <v>5.4707403520912967</v>
      </c>
      <c r="T71" s="85"/>
      <c r="U71" s="74">
        <f t="shared" ref="U71" si="129">((450/C71)*H71^0.5)/3.3</f>
        <v>0.15151515151515152</v>
      </c>
      <c r="V71" s="85"/>
      <c r="W71" s="86">
        <f t="shared" ref="W71" si="130">IF(C71&gt;80,0.00625*C71, IF(C71&lt;2, 1/C71,0.5))</f>
        <v>5.625</v>
      </c>
      <c r="X71" s="87">
        <f t="shared" ref="X71" si="131">IF(C71&gt;80,876*((E71*10^(F71/10))^0.5)/C71,IF(C71&lt;2,5.5*C71*(E71*10^(F71/10))^0.5,(10.95*(E71*10^(F71/10))^0.5)))</f>
        <v>0.97333333333333338</v>
      </c>
      <c r="Y71" s="88"/>
      <c r="Z71" s="86">
        <f t="shared" ref="Z71" si="132">IF(C71&gt;80,0.025*C71, IF(C71&lt;2, 4/C71,2))</f>
        <v>22.5</v>
      </c>
      <c r="AA71" s="87">
        <f t="shared" ref="AA71" si="133">IF(C71&gt;80,219*((E71*10^(F71/10))^0.5)/C71,IF(C71&lt;2,1.37*C71*(E71*10^(F71/10))^0.5,(2.74*(E71*10^(F71/10))^0.5)))</f>
        <v>0.24333333333333335</v>
      </c>
      <c r="AC71" s="19"/>
      <c r="CG71" s="120">
        <v>14</v>
      </c>
      <c r="CH71" s="121" t="s">
        <v>194</v>
      </c>
      <c r="CI71" s="122">
        <v>2400</v>
      </c>
      <c r="CJ71" s="123">
        <f t="shared" si="47"/>
        <v>20</v>
      </c>
      <c r="CK71" s="122">
        <v>0.1</v>
      </c>
      <c r="CL71" s="122">
        <v>6.9</v>
      </c>
      <c r="CM71" s="123">
        <f t="shared" si="48"/>
        <v>26.9</v>
      </c>
      <c r="CN71" s="124">
        <f t="shared" si="49"/>
        <v>0.48977881936844625</v>
      </c>
      <c r="CO71" s="125"/>
      <c r="CP71" s="126">
        <f t="shared" si="50"/>
        <v>0.40405872432676915</v>
      </c>
      <c r="CQ71" s="126">
        <f t="shared" si="51"/>
        <v>1.2121761729803076</v>
      </c>
      <c r="CR71" s="126">
        <f t="shared" si="52"/>
        <v>4.0405872432676917</v>
      </c>
      <c r="CS71" s="126">
        <f t="shared" si="53"/>
        <v>12.121761729803076</v>
      </c>
      <c r="CT71" s="127"/>
      <c r="CU71" s="128"/>
      <c r="CV71" s="129">
        <f t="shared" si="54"/>
        <v>0.12762179492059178</v>
      </c>
      <c r="CW71" s="129">
        <f t="shared" si="55"/>
        <v>0.3828653847617754</v>
      </c>
      <c r="CX71" s="129">
        <f t="shared" si="56"/>
        <v>1.276217949205918</v>
      </c>
      <c r="CY71" s="129">
        <f t="shared" si="57"/>
        <v>3.8286538476177538</v>
      </c>
      <c r="CZ71" s="109"/>
      <c r="DA71" s="130">
        <f t="shared" si="58"/>
        <v>3.9763749772856453E-2</v>
      </c>
      <c r="DB71" s="109"/>
      <c r="DC71" s="131">
        <f t="shared" si="59"/>
        <v>15</v>
      </c>
      <c r="DD71" s="132">
        <f t="shared" si="60"/>
        <v>0.25544232854082988</v>
      </c>
      <c r="DE71" s="119"/>
      <c r="DF71" s="131">
        <f t="shared" si="61"/>
        <v>60</v>
      </c>
      <c r="DG71" s="132">
        <f t="shared" si="62"/>
        <v>6.3860582135207469E-2</v>
      </c>
      <c r="DM71" s="82">
        <v>9</v>
      </c>
      <c r="DN71" s="6" t="s">
        <v>66</v>
      </c>
      <c r="DO71" s="68">
        <v>1800</v>
      </c>
      <c r="DP71" s="70">
        <f t="shared" si="63"/>
        <v>30</v>
      </c>
      <c r="DQ71" s="68">
        <v>1</v>
      </c>
      <c r="DR71" s="68">
        <v>0</v>
      </c>
      <c r="DS71" s="70">
        <f t="shared" si="64"/>
        <v>30</v>
      </c>
      <c r="DT71" s="72">
        <f t="shared" si="65"/>
        <v>1</v>
      </c>
      <c r="DU71" s="71"/>
      <c r="DV71" s="64">
        <f t="shared" si="66"/>
        <v>0.18257633646359869</v>
      </c>
      <c r="DW71" s="64">
        <f t="shared" si="67"/>
        <v>0.54772900939079605</v>
      </c>
      <c r="DX71" s="64">
        <f t="shared" si="68"/>
        <v>1.8257633646359868</v>
      </c>
      <c r="DY71" s="64">
        <f t="shared" si="69"/>
        <v>5.4772900939079605</v>
      </c>
      <c r="DZ71" s="6"/>
      <c r="EA71" s="47"/>
      <c r="EB71" s="73">
        <f t="shared" si="70"/>
        <v>0.18235801173637653</v>
      </c>
      <c r="EC71" s="73">
        <f t="shared" si="71"/>
        <v>0.54707403520912967</v>
      </c>
      <c r="ED71" s="73">
        <f t="shared" si="72"/>
        <v>1.8235801173637656</v>
      </c>
      <c r="EE71" s="73">
        <f t="shared" si="73"/>
        <v>5.4707403520912967</v>
      </c>
      <c r="EF71" s="2"/>
      <c r="EG71" s="74">
        <f t="shared" si="74"/>
        <v>7.575757575757576E-2</v>
      </c>
      <c r="EH71" s="2"/>
      <c r="EI71" s="81">
        <f t="shared" si="75"/>
        <v>11.25</v>
      </c>
      <c r="EJ71" s="79">
        <f t="shared" si="76"/>
        <v>0.48666666666666669</v>
      </c>
      <c r="EK71" s="3"/>
      <c r="EL71" s="81">
        <f t="shared" si="77"/>
        <v>45</v>
      </c>
      <c r="EM71" s="79">
        <f t="shared" si="78"/>
        <v>0.12166666666666667</v>
      </c>
      <c r="ER71" s="82">
        <v>18</v>
      </c>
      <c r="ES71" s="6" t="s">
        <v>189</v>
      </c>
      <c r="ET71" s="68">
        <v>481</v>
      </c>
      <c r="EU71" s="70">
        <f t="shared" si="79"/>
        <v>36.020599913279625</v>
      </c>
      <c r="EV71" s="68">
        <v>4</v>
      </c>
      <c r="EW71" s="68">
        <v>0</v>
      </c>
      <c r="EX71" s="70">
        <f t="shared" si="80"/>
        <v>36.020599913279625</v>
      </c>
      <c r="EY71" s="72">
        <f t="shared" si="81"/>
        <v>4.0000000000000071</v>
      </c>
      <c r="EZ71" s="71"/>
      <c r="FA71" s="64">
        <f t="shared" si="82"/>
        <v>0.18257633646359869</v>
      </c>
      <c r="FB71" s="64">
        <f t="shared" si="83"/>
        <v>0.54772900939079605</v>
      </c>
      <c r="FC71" s="64">
        <f t="shared" si="84"/>
        <v>1.8257633646359868</v>
      </c>
      <c r="FD71" s="64">
        <f t="shared" si="85"/>
        <v>5.4772900939079605</v>
      </c>
      <c r="FE71" s="6"/>
      <c r="FF71" s="47"/>
      <c r="FG71" s="73">
        <f t="shared" si="86"/>
        <v>0.36471602347275339</v>
      </c>
      <c r="FH71" s="73">
        <f t="shared" si="87"/>
        <v>1.0941480704182602</v>
      </c>
      <c r="FI71" s="73">
        <f t="shared" si="88"/>
        <v>3.6471602347275343</v>
      </c>
      <c r="FJ71" s="73">
        <f t="shared" si="89"/>
        <v>10.941480704182602</v>
      </c>
      <c r="FK71" s="2"/>
      <c r="FL71" s="74">
        <f t="shared" si="90"/>
        <v>0.56700056700056756</v>
      </c>
      <c r="FM71" s="2"/>
      <c r="FN71" s="81">
        <f t="shared" si="91"/>
        <v>3.0062500000000001</v>
      </c>
      <c r="FO71" s="79">
        <f t="shared" si="92"/>
        <v>3.6424116424116426</v>
      </c>
      <c r="FP71" s="3"/>
      <c r="FQ71" s="81">
        <f t="shared" si="93"/>
        <v>12.025</v>
      </c>
      <c r="FR71" s="79">
        <f t="shared" si="94"/>
        <v>0.91060291060291065</v>
      </c>
      <c r="FW71" s="82">
        <v>3</v>
      </c>
      <c r="FX71" s="83" t="s">
        <v>195</v>
      </c>
      <c r="FY71" s="82">
        <v>900</v>
      </c>
      <c r="FZ71" s="82">
        <v>30</v>
      </c>
      <c r="GA71" s="73">
        <f>(10^(FZ71/10))/1000</f>
        <v>1</v>
      </c>
      <c r="GB71" s="82">
        <v>0</v>
      </c>
      <c r="GC71" s="70">
        <f t="shared" si="95"/>
        <v>30</v>
      </c>
      <c r="GD71" s="72">
        <f t="shared" si="96"/>
        <v>1</v>
      </c>
      <c r="GE71" s="84"/>
      <c r="GF71" s="64">
        <f t="shared" si="119"/>
        <v>0.18257633646359869</v>
      </c>
      <c r="GG71" s="64">
        <f t="shared" si="120"/>
        <v>0.54772900939079605</v>
      </c>
      <c r="GH71" s="64">
        <f t="shared" si="121"/>
        <v>1.8257633646359868</v>
      </c>
      <c r="GI71" s="64">
        <f t="shared" si="122"/>
        <v>5.4772900939079605</v>
      </c>
      <c r="GJ71" s="75" t="s">
        <v>155</v>
      </c>
      <c r="GK71" s="59"/>
      <c r="GL71" s="73">
        <f t="shared" si="97"/>
        <v>0.18235801173637653</v>
      </c>
      <c r="GM71" s="73">
        <f t="shared" si="98"/>
        <v>0.54707403520912967</v>
      </c>
      <c r="GN71" s="73">
        <f t="shared" si="99"/>
        <v>1.8235801173637656</v>
      </c>
      <c r="GO71" s="73">
        <f t="shared" si="100"/>
        <v>5.4707403520912967</v>
      </c>
      <c r="GP71" s="85"/>
      <c r="GQ71" s="74">
        <f t="shared" si="101"/>
        <v>0.15151515151515152</v>
      </c>
      <c r="GR71" s="85"/>
      <c r="GS71" s="86">
        <f t="shared" si="102"/>
        <v>5.625</v>
      </c>
      <c r="GT71" s="87">
        <f t="shared" si="103"/>
        <v>0.97333333333333338</v>
      </c>
      <c r="GU71" s="88"/>
      <c r="GV71" s="86">
        <f t="shared" si="104"/>
        <v>22.5</v>
      </c>
      <c r="GW71" s="87">
        <f t="shared" si="105"/>
        <v>0.24333333333333335</v>
      </c>
    </row>
    <row r="72" spans="1:208" ht="86.45" x14ac:dyDescent="0.3">
      <c r="A72" s="62">
        <v>4</v>
      </c>
      <c r="B72" s="83" t="s">
        <v>195</v>
      </c>
      <c r="C72" s="82">
        <v>1800</v>
      </c>
      <c r="D72" s="82">
        <v>33</v>
      </c>
      <c r="E72" s="73">
        <f>(10^(D72/10))/1000</f>
        <v>1.9952623149688804</v>
      </c>
      <c r="F72" s="82">
        <v>0</v>
      </c>
      <c r="G72" s="70">
        <f t="shared" ref="G72:G73" si="134">F72+D72</f>
        <v>33</v>
      </c>
      <c r="H72" s="72">
        <f t="shared" ref="H72:H73" si="135">(10^(G72/10))/1000</f>
        <v>1.9952623149688804</v>
      </c>
      <c r="I72" s="84"/>
      <c r="J72" s="64">
        <f t="shared" si="106"/>
        <v>0.25789593001450956</v>
      </c>
      <c r="K72" s="64">
        <f t="shared" si="107"/>
        <v>0.77368779004352872</v>
      </c>
      <c r="L72" s="64">
        <f t="shared" si="108"/>
        <v>2.5789593001450957</v>
      </c>
      <c r="M72" s="64">
        <f t="shared" si="109"/>
        <v>7.736877900435287</v>
      </c>
      <c r="N72" s="75" t="s">
        <v>155</v>
      </c>
      <c r="O72" s="59"/>
      <c r="P72" s="73">
        <f t="shared" ref="P72:P73" si="136">((173*1*(H72)^0.5)/($P$68*1000^0.5))</f>
        <v>0.25758753814038876</v>
      </c>
      <c r="Q72" s="73">
        <f t="shared" ref="Q72:Q73" si="137">((173*1*(H72)^0.5)/($Q$68*1000^0.5))</f>
        <v>0.77276261442116645</v>
      </c>
      <c r="R72" s="73">
        <f t="shared" ref="R72:R73" si="138">((173*1*(H72)^0.5)/($R$68*1000^0.5))</f>
        <v>2.5758753814038879</v>
      </c>
      <c r="S72" s="73">
        <f t="shared" ref="S72:S73" si="139">((173*1*(H72)^0.5)/($S$68*1000^0.5))</f>
        <v>7.7276261442116638</v>
      </c>
      <c r="T72" s="85"/>
      <c r="U72" s="74">
        <f t="shared" ref="U72:U73" si="140">((450/C72)*H72^0.5)/3.3</f>
        <v>0.10701042004717838</v>
      </c>
      <c r="V72" s="85"/>
      <c r="W72" s="86">
        <f t="shared" ref="W72:W73" si="141">IF(C72&gt;80,0.00625*C72, IF(C72&lt;2, 1/C72,0.5))</f>
        <v>11.25</v>
      </c>
      <c r="X72" s="87">
        <f t="shared" ref="X72:X73" si="142">IF(C72&gt;80,876*((E72*10^(F72/10))^0.5)/C72,IF(C72&lt;2,5.5*C72*(E72*10^(F72/10))^0.5,(10.95*(E72*10^(F72/10))^0.5)))</f>
        <v>0.68743493838307401</v>
      </c>
      <c r="Y72" s="88"/>
      <c r="Z72" s="86">
        <f t="shared" ref="Z72:Z73" si="143">IF(C72&gt;80,0.025*C72, IF(C72&lt;2, 4/C72,2))</f>
        <v>45</v>
      </c>
      <c r="AA72" s="87">
        <f t="shared" ref="AA72:AA73" si="144">IF(C72&gt;80,219*((E72*10^(F72/10))^0.5)/C72,IF(C72&lt;2,1.37*C72*(E72*10^(F72/10))^0.5,(2.74*(E72*10^(F72/10))^0.5)))</f>
        <v>0.1718587345957685</v>
      </c>
      <c r="AC72" s="19"/>
      <c r="CG72" s="120">
        <v>15</v>
      </c>
      <c r="CH72" s="134" t="s">
        <v>246</v>
      </c>
      <c r="CI72" s="122">
        <v>5800</v>
      </c>
      <c r="CJ72" s="123">
        <f t="shared" si="47"/>
        <v>30</v>
      </c>
      <c r="CK72" s="122">
        <v>1</v>
      </c>
      <c r="CL72" s="122">
        <v>8.8000000000000007</v>
      </c>
      <c r="CM72" s="123">
        <f t="shared" si="48"/>
        <v>38.799999999999997</v>
      </c>
      <c r="CN72" s="124">
        <f t="shared" si="49"/>
        <v>7.5857757502918393</v>
      </c>
      <c r="CO72" s="125"/>
      <c r="CP72" s="126">
        <f t="shared" si="50"/>
        <v>0.71030437292005333</v>
      </c>
      <c r="CQ72" s="126">
        <f t="shared" si="51"/>
        <v>2.13091311876016</v>
      </c>
      <c r="CR72" s="126">
        <f t="shared" si="52"/>
        <v>7.1030437292005342</v>
      </c>
      <c r="CS72" s="126">
        <f t="shared" si="53"/>
        <v>21.309131187601601</v>
      </c>
      <c r="CT72" s="127"/>
      <c r="CU72" s="128"/>
      <c r="CV72" s="129">
        <f t="shared" si="54"/>
        <v>0.50225567020800654</v>
      </c>
      <c r="CW72" s="129">
        <f t="shared" si="55"/>
        <v>1.5067670106240199</v>
      </c>
      <c r="CX72" s="129">
        <f t="shared" si="56"/>
        <v>5.0225567020800659</v>
      </c>
      <c r="CY72" s="129">
        <f t="shared" si="57"/>
        <v>15.067670106240197</v>
      </c>
      <c r="CZ72" s="109"/>
      <c r="DA72" s="130">
        <f t="shared" si="58"/>
        <v>6.4754593338671645E-2</v>
      </c>
      <c r="DB72" s="109"/>
      <c r="DC72" s="131">
        <f t="shared" si="59"/>
        <v>36.25</v>
      </c>
      <c r="DD72" s="132">
        <f t="shared" si="60"/>
        <v>0.41598350760762665</v>
      </c>
      <c r="DE72" s="119"/>
      <c r="DF72" s="131">
        <f t="shared" si="61"/>
        <v>145</v>
      </c>
      <c r="DG72" s="132">
        <f t="shared" si="62"/>
        <v>0.10399587690190666</v>
      </c>
      <c r="DM72" s="62">
        <v>10</v>
      </c>
      <c r="DN72" s="6" t="s">
        <v>67</v>
      </c>
      <c r="DO72" s="68">
        <v>2100</v>
      </c>
      <c r="DP72" s="70">
        <f t="shared" si="63"/>
        <v>23.979400086720375</v>
      </c>
      <c r="DQ72" s="68">
        <v>0.25</v>
      </c>
      <c r="DR72" s="68">
        <v>0</v>
      </c>
      <c r="DS72" s="70">
        <f t="shared" si="64"/>
        <v>23.979400086720375</v>
      </c>
      <c r="DT72" s="72">
        <f t="shared" si="65"/>
        <v>0.25000000000000011</v>
      </c>
      <c r="DU72" s="71"/>
      <c r="DV72" s="64">
        <f t="shared" si="66"/>
        <v>0.25789593001450956</v>
      </c>
      <c r="DW72" s="64">
        <f t="shared" si="67"/>
        <v>0.77368779004352872</v>
      </c>
      <c r="DX72" s="64">
        <f t="shared" si="68"/>
        <v>2.5789593001450957</v>
      </c>
      <c r="DY72" s="64">
        <f t="shared" si="69"/>
        <v>7.736877900435287</v>
      </c>
      <c r="DZ72" s="6"/>
      <c r="EA72" s="47"/>
      <c r="EB72" s="73">
        <f t="shared" si="70"/>
        <v>9.1179005868188279E-2</v>
      </c>
      <c r="EC72" s="73">
        <f t="shared" si="71"/>
        <v>0.27353701760456489</v>
      </c>
      <c r="ED72" s="73">
        <f t="shared" si="72"/>
        <v>0.9117900586818829</v>
      </c>
      <c r="EE72" s="73">
        <f t="shared" si="73"/>
        <v>2.7353701760456488</v>
      </c>
      <c r="EF72" s="2"/>
      <c r="EG72" s="74">
        <f t="shared" si="74"/>
        <v>3.2467532467532478E-2</v>
      </c>
      <c r="EH72" s="2"/>
      <c r="EI72" s="81">
        <f t="shared" si="75"/>
        <v>13.125</v>
      </c>
      <c r="EJ72" s="79">
        <f t="shared" si="76"/>
        <v>0.20857142857142857</v>
      </c>
      <c r="EK72" s="3"/>
      <c r="EL72" s="81">
        <f t="shared" si="77"/>
        <v>52.5</v>
      </c>
      <c r="EM72" s="79">
        <f t="shared" si="78"/>
        <v>5.2142857142857144E-2</v>
      </c>
      <c r="ER72" s="62">
        <v>19</v>
      </c>
      <c r="ES72" s="6" t="s">
        <v>190</v>
      </c>
      <c r="ET72" s="68">
        <v>155</v>
      </c>
      <c r="EU72" s="70">
        <f t="shared" si="79"/>
        <v>36.989700043360187</v>
      </c>
      <c r="EV72" s="68">
        <v>5</v>
      </c>
      <c r="EW72" s="68">
        <v>0</v>
      </c>
      <c r="EX72" s="70">
        <f t="shared" si="80"/>
        <v>36.989700043360187</v>
      </c>
      <c r="EY72" s="72">
        <f t="shared" si="81"/>
        <v>5.0000000000000036</v>
      </c>
      <c r="EZ72" s="71"/>
      <c r="FA72" s="64">
        <f t="shared" si="82"/>
        <v>0.25789593001450956</v>
      </c>
      <c r="FB72" s="64">
        <f t="shared" si="83"/>
        <v>0.77368779004352872</v>
      </c>
      <c r="FC72" s="64">
        <f t="shared" si="84"/>
        <v>2.5789593001450957</v>
      </c>
      <c r="FD72" s="64">
        <f t="shared" si="85"/>
        <v>7.736877900435287</v>
      </c>
      <c r="FE72" s="6"/>
      <c r="FF72" s="47"/>
      <c r="FG72" s="73">
        <f t="shared" si="86"/>
        <v>0.40776491048424257</v>
      </c>
      <c r="FH72" s="73">
        <f t="shared" si="87"/>
        <v>1.2232947314527278</v>
      </c>
      <c r="FI72" s="73">
        <f t="shared" si="88"/>
        <v>4.0776491048424264</v>
      </c>
      <c r="FJ72" s="73">
        <f t="shared" si="89"/>
        <v>12.232947314527278</v>
      </c>
      <c r="FK72" s="2"/>
      <c r="FL72" s="74">
        <f t="shared" si="90"/>
        <v>1.9672152294719569</v>
      </c>
      <c r="FM72" s="2"/>
      <c r="FN72" s="81">
        <f t="shared" si="91"/>
        <v>0.96875</v>
      </c>
      <c r="FO72" s="79">
        <f t="shared" si="92"/>
        <v>12.637390634127843</v>
      </c>
      <c r="FP72" s="3"/>
      <c r="FQ72" s="81">
        <f t="shared" si="93"/>
        <v>3.875</v>
      </c>
      <c r="FR72" s="79">
        <f t="shared" si="94"/>
        <v>3.1593476585319609</v>
      </c>
      <c r="FW72" s="62">
        <v>4</v>
      </c>
      <c r="FX72" s="83" t="s">
        <v>195</v>
      </c>
      <c r="FY72" s="82">
        <v>1800</v>
      </c>
      <c r="FZ72" s="82">
        <v>33</v>
      </c>
      <c r="GA72" s="73">
        <f>(10^(FZ72/10))/1000</f>
        <v>1.9952623149688804</v>
      </c>
      <c r="GB72" s="82">
        <v>0</v>
      </c>
      <c r="GC72" s="70">
        <f t="shared" si="95"/>
        <v>33</v>
      </c>
      <c r="GD72" s="72">
        <f t="shared" si="96"/>
        <v>1.9952623149688804</v>
      </c>
      <c r="GE72" s="84"/>
      <c r="GF72" s="64">
        <f t="shared" si="119"/>
        <v>0.25789593001450956</v>
      </c>
      <c r="GG72" s="64">
        <f t="shared" si="120"/>
        <v>0.77368779004352872</v>
      </c>
      <c r="GH72" s="64">
        <f t="shared" si="121"/>
        <v>2.5789593001450957</v>
      </c>
      <c r="GI72" s="64">
        <f t="shared" si="122"/>
        <v>7.736877900435287</v>
      </c>
      <c r="GJ72" s="75" t="s">
        <v>155</v>
      </c>
      <c r="GK72" s="59"/>
      <c r="GL72" s="73">
        <f t="shared" si="97"/>
        <v>0.25758753814038876</v>
      </c>
      <c r="GM72" s="73">
        <f t="shared" si="98"/>
        <v>0.77276261442116645</v>
      </c>
      <c r="GN72" s="73">
        <f t="shared" si="99"/>
        <v>2.5758753814038879</v>
      </c>
      <c r="GO72" s="73">
        <f t="shared" si="100"/>
        <v>7.7276261442116638</v>
      </c>
      <c r="GP72" s="85"/>
      <c r="GQ72" s="74">
        <f t="shared" si="101"/>
        <v>0.10701042004717838</v>
      </c>
      <c r="GR72" s="85"/>
      <c r="GS72" s="86">
        <f t="shared" si="102"/>
        <v>11.25</v>
      </c>
      <c r="GT72" s="87">
        <f t="shared" si="103"/>
        <v>0.68743493838307401</v>
      </c>
      <c r="GU72" s="88"/>
      <c r="GV72" s="86">
        <f t="shared" si="104"/>
        <v>45</v>
      </c>
      <c r="GW72" s="87">
        <f t="shared" si="105"/>
        <v>0.1718587345957685</v>
      </c>
    </row>
    <row r="73" spans="1:208" ht="72" x14ac:dyDescent="0.3">
      <c r="A73" s="82">
        <v>5</v>
      </c>
      <c r="B73" s="83" t="s">
        <v>196</v>
      </c>
      <c r="C73" s="82">
        <v>13.5</v>
      </c>
      <c r="D73" s="82">
        <v>-84</v>
      </c>
      <c r="E73" s="73">
        <f>(10^(D73/10))/1000</f>
        <v>3.9810717055349663E-12</v>
      </c>
      <c r="F73" s="82">
        <v>0</v>
      </c>
      <c r="G73" s="70">
        <f t="shared" si="134"/>
        <v>-84</v>
      </c>
      <c r="H73" s="72">
        <f t="shared" si="135"/>
        <v>3.9810717055349663E-12</v>
      </c>
      <c r="I73" s="84"/>
      <c r="J73" s="64">
        <f t="shared" si="106"/>
        <v>3.6428768375089667E-7</v>
      </c>
      <c r="K73" s="64">
        <f t="shared" si="107"/>
        <v>1.0928630512526899E-6</v>
      </c>
      <c r="L73" s="64">
        <f t="shared" si="108"/>
        <v>3.6428768375089669E-6</v>
      </c>
      <c r="M73" s="64">
        <f t="shared" si="109"/>
        <v>1.09286305125269E-5</v>
      </c>
      <c r="N73" s="75"/>
      <c r="O73" s="59"/>
      <c r="P73" s="73">
        <f t="shared" si="136"/>
        <v>3.6385206865024449E-7</v>
      </c>
      <c r="Q73" s="73">
        <f t="shared" si="137"/>
        <v>1.0915562059507336E-6</v>
      </c>
      <c r="R73" s="73">
        <f t="shared" si="138"/>
        <v>3.638520686502445E-6</v>
      </c>
      <c r="S73" s="73">
        <f t="shared" si="139"/>
        <v>1.0915562059507334E-5</v>
      </c>
      <c r="T73" s="85"/>
      <c r="U73" s="74">
        <f t="shared" si="140"/>
        <v>2.0154164797665437E-5</v>
      </c>
      <c r="V73" s="85"/>
      <c r="W73" s="86">
        <f t="shared" si="141"/>
        <v>0.5</v>
      </c>
      <c r="X73" s="87">
        <f t="shared" si="142"/>
        <v>2.1848122348909211E-5</v>
      </c>
      <c r="Y73" s="88"/>
      <c r="Z73" s="86">
        <f t="shared" si="143"/>
        <v>2</v>
      </c>
      <c r="AA73" s="87">
        <f t="shared" si="144"/>
        <v>5.4670187430147259E-6</v>
      </c>
      <c r="AC73" s="19"/>
      <c r="DM73" s="82">
        <v>11</v>
      </c>
      <c r="DN73" s="6" t="s">
        <v>27</v>
      </c>
      <c r="DO73" s="68">
        <v>2300</v>
      </c>
      <c r="DP73" s="70">
        <f t="shared" si="63"/>
        <v>23.979400086720375</v>
      </c>
      <c r="DQ73" s="68">
        <v>0.25</v>
      </c>
      <c r="DR73" s="68">
        <v>0</v>
      </c>
      <c r="DS73" s="70">
        <f t="shared" si="64"/>
        <v>23.979400086720375</v>
      </c>
      <c r="DT73" s="72">
        <f t="shared" si="65"/>
        <v>0.25000000000000011</v>
      </c>
      <c r="DU73" s="71"/>
      <c r="DV73" s="64">
        <f t="shared" si="66"/>
        <v>3.6428768375089667E-7</v>
      </c>
      <c r="DW73" s="64">
        <f t="shared" si="67"/>
        <v>1.0928630512526899E-6</v>
      </c>
      <c r="DX73" s="64">
        <f t="shared" si="68"/>
        <v>3.6428768375089669E-6</v>
      </c>
      <c r="DY73" s="64">
        <f t="shared" si="69"/>
        <v>1.09286305125269E-5</v>
      </c>
      <c r="DZ73" s="6"/>
      <c r="EA73" s="47"/>
      <c r="EB73" s="73">
        <f t="shared" si="70"/>
        <v>9.1179005868188279E-2</v>
      </c>
      <c r="EC73" s="73">
        <f t="shared" si="71"/>
        <v>0.27353701760456489</v>
      </c>
      <c r="ED73" s="73">
        <f t="shared" si="72"/>
        <v>0.9117900586818829</v>
      </c>
      <c r="EE73" s="73">
        <f t="shared" si="73"/>
        <v>2.7353701760456488</v>
      </c>
      <c r="EF73" s="2"/>
      <c r="EG73" s="74">
        <f t="shared" si="74"/>
        <v>2.964426877470357E-2</v>
      </c>
      <c r="EH73" s="2"/>
      <c r="EI73" s="81">
        <f t="shared" si="75"/>
        <v>14.375</v>
      </c>
      <c r="EJ73" s="79">
        <f t="shared" si="76"/>
        <v>0.19043478260869565</v>
      </c>
      <c r="EK73" s="3"/>
      <c r="EL73" s="81">
        <f t="shared" si="77"/>
        <v>57.5</v>
      </c>
      <c r="EM73" s="79">
        <f t="shared" si="78"/>
        <v>4.7608695652173912E-2</v>
      </c>
      <c r="ER73" s="82">
        <v>20</v>
      </c>
      <c r="ES73" s="56" t="s">
        <v>191</v>
      </c>
      <c r="ET73" s="62">
        <v>155</v>
      </c>
      <c r="EU73" s="65">
        <f t="shared" si="79"/>
        <v>46.53212513775344</v>
      </c>
      <c r="EV73" s="62">
        <v>45</v>
      </c>
      <c r="EW73" s="62">
        <v>0</v>
      </c>
      <c r="EX73" s="65">
        <f t="shared" si="80"/>
        <v>46.53212513775344</v>
      </c>
      <c r="EY73" s="64">
        <f t="shared" si="81"/>
        <v>45.000000000000064</v>
      </c>
      <c r="EZ73" s="66"/>
      <c r="FA73" s="64">
        <f t="shared" si="82"/>
        <v>3.6428768375089667E-7</v>
      </c>
      <c r="FB73" s="64">
        <f t="shared" si="83"/>
        <v>1.0928630512526899E-6</v>
      </c>
      <c r="FC73" s="64">
        <f t="shared" si="84"/>
        <v>3.6428768375089669E-6</v>
      </c>
      <c r="FD73" s="64">
        <f t="shared" si="85"/>
        <v>1.09286305125269E-5</v>
      </c>
      <c r="FE73" s="56"/>
      <c r="FF73" s="47"/>
      <c r="FG73" s="64">
        <f t="shared" si="86"/>
        <v>1.223294731452728</v>
      </c>
      <c r="FH73" s="64">
        <f t="shared" si="87"/>
        <v>3.6698841943581848</v>
      </c>
      <c r="FI73" s="64">
        <f t="shared" si="88"/>
        <v>12.232947314527282</v>
      </c>
      <c r="FJ73" s="64">
        <f t="shared" si="89"/>
        <v>36.698841943581847</v>
      </c>
      <c r="FK73" s="2"/>
      <c r="FL73" s="67">
        <f t="shared" si="90"/>
        <v>5.9016456884158721</v>
      </c>
      <c r="FM73" s="2"/>
      <c r="FN73" s="80">
        <f t="shared" si="91"/>
        <v>0.96875</v>
      </c>
      <c r="FO73" s="77">
        <f t="shared" si="92"/>
        <v>37.912171902383534</v>
      </c>
      <c r="FP73" s="78"/>
      <c r="FQ73" s="80">
        <f t="shared" si="93"/>
        <v>3.875</v>
      </c>
      <c r="FR73" s="77">
        <f t="shared" si="94"/>
        <v>9.4780429755958835</v>
      </c>
      <c r="FW73" s="82">
        <v>23</v>
      </c>
      <c r="FX73" s="101" t="s">
        <v>234</v>
      </c>
      <c r="FY73" s="102">
        <v>2400</v>
      </c>
      <c r="FZ73" s="7">
        <f t="shared" ref="FZ73:FZ74" si="145">10*LOG(GA73*1000)</f>
        <v>20</v>
      </c>
      <c r="GA73" s="5">
        <v>0.1</v>
      </c>
      <c r="GB73" s="5">
        <v>0</v>
      </c>
      <c r="GC73" s="5">
        <f t="shared" si="95"/>
        <v>20</v>
      </c>
      <c r="GD73" s="5">
        <f t="shared" si="96"/>
        <v>0.1</v>
      </c>
      <c r="GE73" s="5"/>
      <c r="GF73" s="8">
        <f t="shared" si="119"/>
        <v>3.6428768375089667E-7</v>
      </c>
      <c r="GG73" s="8">
        <f t="shared" si="120"/>
        <v>1.0928630512526899E-6</v>
      </c>
      <c r="GH73" s="8">
        <f t="shared" si="121"/>
        <v>3.6428768375089669E-6</v>
      </c>
      <c r="GI73" s="8">
        <f t="shared" si="122"/>
        <v>1.09286305125269E-5</v>
      </c>
      <c r="GJ73" s="8"/>
      <c r="GK73" s="8"/>
      <c r="GL73" s="8">
        <f t="shared" si="97"/>
        <v>5.7666666666666665E-2</v>
      </c>
      <c r="GM73" s="8">
        <f t="shared" si="98"/>
        <v>0.17300000000000001</v>
      </c>
      <c r="GN73" s="8">
        <f t="shared" si="99"/>
        <v>0.57666666666666666</v>
      </c>
      <c r="GO73" s="8">
        <f t="shared" si="100"/>
        <v>1.73</v>
      </c>
      <c r="GP73" s="8"/>
      <c r="GQ73" s="8">
        <f t="shared" si="101"/>
        <v>1.7967486705502154E-2</v>
      </c>
      <c r="GR73" s="5"/>
      <c r="GS73" s="86">
        <f t="shared" si="102"/>
        <v>15</v>
      </c>
      <c r="GT73" s="104">
        <f t="shared" si="103"/>
        <v>0.11542313459614585</v>
      </c>
      <c r="GU73" s="5"/>
      <c r="GV73" s="86">
        <f t="shared" si="104"/>
        <v>60</v>
      </c>
      <c r="GW73" s="104">
        <f t="shared" si="105"/>
        <v>2.8855783649036463E-2</v>
      </c>
    </row>
    <row r="74" spans="1:208" ht="72" x14ac:dyDescent="0.3">
      <c r="A74" s="82">
        <v>6</v>
      </c>
      <c r="B74" s="69" t="s">
        <v>17</v>
      </c>
      <c r="C74" s="68">
        <v>2400</v>
      </c>
      <c r="D74" s="70">
        <f t="shared" ref="D74:D92" si="146">10*LOG(E74*1000)</f>
        <v>20</v>
      </c>
      <c r="E74" s="68">
        <v>0.1</v>
      </c>
      <c r="F74" s="68">
        <v>0</v>
      </c>
      <c r="G74" s="70">
        <f t="shared" si="20"/>
        <v>20</v>
      </c>
      <c r="H74" s="72">
        <f t="shared" si="21"/>
        <v>0.1</v>
      </c>
      <c r="I74" s="71"/>
      <c r="J74" s="64">
        <f t="shared" si="106"/>
        <v>5.7735707007422359E-2</v>
      </c>
      <c r="K74" s="64">
        <f t="shared" si="107"/>
        <v>0.17320712102226707</v>
      </c>
      <c r="L74" s="64">
        <f t="shared" si="108"/>
        <v>0.57735707007422365</v>
      </c>
      <c r="M74" s="64">
        <f t="shared" si="109"/>
        <v>1.7320712102226707</v>
      </c>
      <c r="N74" s="6"/>
      <c r="O74" s="47"/>
      <c r="P74" s="73">
        <f t="shared" si="22"/>
        <v>5.7666666666666665E-2</v>
      </c>
      <c r="Q74" s="73">
        <f t="shared" si="23"/>
        <v>0.17300000000000001</v>
      </c>
      <c r="R74" s="73">
        <f t="shared" si="24"/>
        <v>0.57666666666666666</v>
      </c>
      <c r="S74" s="73">
        <f t="shared" si="25"/>
        <v>1.73</v>
      </c>
      <c r="T74" s="2"/>
      <c r="U74" s="74">
        <f t="shared" si="26"/>
        <v>1.7967486705502154E-2</v>
      </c>
      <c r="V74" s="2"/>
      <c r="W74" s="81">
        <f t="shared" si="27"/>
        <v>15</v>
      </c>
      <c r="X74" s="79">
        <f t="shared" si="28"/>
        <v>0.11542313459614585</v>
      </c>
      <c r="Y74" s="3"/>
      <c r="Z74" s="81">
        <f t="shared" si="29"/>
        <v>60</v>
      </c>
      <c r="AA74" s="79">
        <f t="shared" si="30"/>
        <v>2.8855783649036463E-2</v>
      </c>
      <c r="AC74" s="19"/>
      <c r="ER74" s="82">
        <v>21</v>
      </c>
      <c r="ES74" s="56" t="s">
        <v>192</v>
      </c>
      <c r="ET74" s="62">
        <v>436</v>
      </c>
      <c r="EU74" s="65">
        <f t="shared" si="79"/>
        <v>46.020599913279625</v>
      </c>
      <c r="EV74" s="62">
        <v>40</v>
      </c>
      <c r="EW74" s="62">
        <v>0</v>
      </c>
      <c r="EX74" s="65">
        <f t="shared" si="80"/>
        <v>46.020599913279625</v>
      </c>
      <c r="EY74" s="64">
        <f t="shared" si="81"/>
        <v>40.000000000000043</v>
      </c>
      <c r="EZ74" s="66"/>
      <c r="FA74" s="64">
        <f t="shared" si="82"/>
        <v>5.7735707007422359E-2</v>
      </c>
      <c r="FB74" s="64">
        <f t="shared" si="83"/>
        <v>0.17320712102226707</v>
      </c>
      <c r="FC74" s="64">
        <f t="shared" si="84"/>
        <v>0.57735707007422365</v>
      </c>
      <c r="FD74" s="64">
        <f t="shared" si="85"/>
        <v>1.7320712102226707</v>
      </c>
      <c r="FE74" s="56"/>
      <c r="FF74" s="47"/>
      <c r="FG74" s="64">
        <f t="shared" si="86"/>
        <v>1.1533333333333338</v>
      </c>
      <c r="FH74" s="64">
        <f t="shared" si="87"/>
        <v>3.4600000000000017</v>
      </c>
      <c r="FI74" s="64">
        <f t="shared" si="88"/>
        <v>11.533333333333339</v>
      </c>
      <c r="FJ74" s="64">
        <f t="shared" si="89"/>
        <v>34.600000000000016</v>
      </c>
      <c r="FK74" s="2"/>
      <c r="FL74" s="67">
        <f t="shared" si="90"/>
        <v>1.9780719308809722</v>
      </c>
      <c r="FM74" s="2"/>
      <c r="FN74" s="80">
        <f t="shared" si="91"/>
        <v>2.7250000000000001</v>
      </c>
      <c r="FO74" s="77">
        <f t="shared" si="92"/>
        <v>12.70713408397936</v>
      </c>
      <c r="FP74" s="78"/>
      <c r="FQ74" s="80">
        <f t="shared" si="93"/>
        <v>10.9</v>
      </c>
      <c r="FR74" s="77">
        <f t="shared" si="94"/>
        <v>3.1767835209948401</v>
      </c>
      <c r="FW74" s="82">
        <v>24</v>
      </c>
      <c r="FX74" s="101" t="s">
        <v>235</v>
      </c>
      <c r="FY74" s="102">
        <v>1960</v>
      </c>
      <c r="FZ74" s="103">
        <f t="shared" si="145"/>
        <v>23.979400086720375</v>
      </c>
      <c r="GA74" s="5">
        <v>0.25</v>
      </c>
      <c r="GB74" s="5">
        <v>0</v>
      </c>
      <c r="GC74" s="5">
        <f t="shared" si="95"/>
        <v>23.979400086720375</v>
      </c>
      <c r="GD74" s="5">
        <f t="shared" si="96"/>
        <v>0.25000000000000011</v>
      </c>
      <c r="GE74" s="5"/>
      <c r="GF74" s="8">
        <f t="shared" si="119"/>
        <v>5.7735707007422359E-2</v>
      </c>
      <c r="GG74" s="8">
        <f t="shared" si="120"/>
        <v>0.17320712102226707</v>
      </c>
      <c r="GH74" s="8">
        <f t="shared" si="121"/>
        <v>0.57735707007422365</v>
      </c>
      <c r="GI74" s="8">
        <f t="shared" si="122"/>
        <v>1.7320712102226707</v>
      </c>
      <c r="GJ74" s="8"/>
      <c r="GK74" s="8"/>
      <c r="GL74" s="8">
        <f t="shared" si="97"/>
        <v>9.1179005868188279E-2</v>
      </c>
      <c r="GM74" s="8">
        <f t="shared" si="98"/>
        <v>0.27353701760456489</v>
      </c>
      <c r="GN74" s="8">
        <f t="shared" si="99"/>
        <v>0.9117900586818829</v>
      </c>
      <c r="GO74" s="8">
        <f t="shared" si="100"/>
        <v>2.7353701760456488</v>
      </c>
      <c r="GP74" s="8"/>
      <c r="GQ74" s="8">
        <f t="shared" si="101"/>
        <v>3.4786641929499082E-2</v>
      </c>
      <c r="GR74" s="5"/>
      <c r="GS74" s="86">
        <f t="shared" si="102"/>
        <v>12.25</v>
      </c>
      <c r="GT74" s="104">
        <f t="shared" si="103"/>
        <v>0.22346938775510203</v>
      </c>
      <c r="GU74" s="5"/>
      <c r="GV74" s="86">
        <f t="shared" si="104"/>
        <v>49</v>
      </c>
      <c r="GW74" s="104">
        <f t="shared" si="105"/>
        <v>5.5867346938775507E-2</v>
      </c>
    </row>
    <row r="75" spans="1:208" ht="72" x14ac:dyDescent="0.3">
      <c r="A75" s="62">
        <v>7</v>
      </c>
      <c r="B75" s="69" t="s">
        <v>16</v>
      </c>
      <c r="C75" s="68">
        <v>900</v>
      </c>
      <c r="D75" s="70">
        <f t="shared" si="146"/>
        <v>23.979400086720375</v>
      </c>
      <c r="E75" s="68">
        <v>0.25</v>
      </c>
      <c r="F75" s="68">
        <v>0</v>
      </c>
      <c r="G75" s="70">
        <f t="shared" si="20"/>
        <v>23.979400086720375</v>
      </c>
      <c r="H75" s="72">
        <f t="shared" si="21"/>
        <v>0.25000000000000011</v>
      </c>
      <c r="I75" s="71"/>
      <c r="J75" s="64">
        <f t="shared" si="106"/>
        <v>9.1288168231799346E-2</v>
      </c>
      <c r="K75" s="64">
        <f t="shared" si="107"/>
        <v>0.27386450469539803</v>
      </c>
      <c r="L75" s="64">
        <f t="shared" si="108"/>
        <v>0.91288168231799338</v>
      </c>
      <c r="M75" s="64">
        <f t="shared" si="109"/>
        <v>2.7386450469539803</v>
      </c>
      <c r="N75" s="6"/>
      <c r="O75" s="47"/>
      <c r="P75" s="73">
        <f t="shared" si="22"/>
        <v>9.1179005868188279E-2</v>
      </c>
      <c r="Q75" s="73">
        <f t="shared" si="23"/>
        <v>0.27353701760456489</v>
      </c>
      <c r="R75" s="73">
        <f t="shared" si="24"/>
        <v>0.9117900586818829</v>
      </c>
      <c r="S75" s="73">
        <f t="shared" si="25"/>
        <v>2.7353701760456488</v>
      </c>
      <c r="T75" s="2"/>
      <c r="U75" s="74">
        <f t="shared" si="26"/>
        <v>7.5757575757575774E-2</v>
      </c>
      <c r="V75" s="2"/>
      <c r="W75" s="81">
        <f t="shared" si="27"/>
        <v>5.625</v>
      </c>
      <c r="X75" s="79">
        <f t="shared" si="28"/>
        <v>0.48666666666666669</v>
      </c>
      <c r="Y75" s="3"/>
      <c r="Z75" s="81">
        <f t="shared" si="29"/>
        <v>22.5</v>
      </c>
      <c r="AA75" s="79">
        <f t="shared" si="30"/>
        <v>0.12166666666666667</v>
      </c>
      <c r="AC75" s="19"/>
      <c r="ER75" s="94">
        <v>22</v>
      </c>
      <c r="ES75" s="95" t="s">
        <v>193</v>
      </c>
      <c r="ET75" s="94">
        <v>481</v>
      </c>
      <c r="EU75" s="96">
        <f t="shared" si="79"/>
        <v>46.020599913279625</v>
      </c>
      <c r="EV75" s="94">
        <v>40</v>
      </c>
      <c r="EW75" s="94">
        <v>0</v>
      </c>
      <c r="EX75" s="96">
        <f t="shared" si="80"/>
        <v>46.020599913279625</v>
      </c>
      <c r="EY75" s="97">
        <f t="shared" si="81"/>
        <v>40.000000000000043</v>
      </c>
      <c r="EZ75" s="66"/>
      <c r="FA75" s="97">
        <f t="shared" si="82"/>
        <v>9.1288168231799346E-2</v>
      </c>
      <c r="FB75" s="97">
        <f t="shared" si="83"/>
        <v>0.27386450469539803</v>
      </c>
      <c r="FC75" s="97">
        <f t="shared" si="84"/>
        <v>0.91288168231799338</v>
      </c>
      <c r="FD75" s="97">
        <f t="shared" si="85"/>
        <v>2.7386450469539803</v>
      </c>
      <c r="FE75" s="95"/>
      <c r="FF75" s="47"/>
      <c r="FG75" s="97">
        <f t="shared" si="86"/>
        <v>1.1533333333333338</v>
      </c>
      <c r="FH75" s="97">
        <f t="shared" si="87"/>
        <v>3.4600000000000017</v>
      </c>
      <c r="FI75" s="97">
        <f t="shared" si="88"/>
        <v>11.533333333333339</v>
      </c>
      <c r="FJ75" s="97">
        <f t="shared" si="89"/>
        <v>34.600000000000016</v>
      </c>
      <c r="FK75" s="2"/>
      <c r="FL75" s="98">
        <f t="shared" si="90"/>
        <v>1.7930132263286984</v>
      </c>
      <c r="FM75" s="2"/>
      <c r="FN75" s="99">
        <f t="shared" si="91"/>
        <v>3.0062500000000001</v>
      </c>
      <c r="FO75" s="100">
        <f t="shared" si="92"/>
        <v>11.518316965935552</v>
      </c>
      <c r="FP75" s="78"/>
      <c r="FQ75" s="99">
        <f t="shared" si="93"/>
        <v>12.025</v>
      </c>
      <c r="FR75" s="100">
        <f t="shared" si="94"/>
        <v>2.8795792414838881</v>
      </c>
    </row>
    <row r="76" spans="1:208" ht="14.45" x14ac:dyDescent="0.3">
      <c r="A76" s="82">
        <v>8</v>
      </c>
      <c r="B76" s="6" t="s">
        <v>5</v>
      </c>
      <c r="C76" s="68">
        <v>900</v>
      </c>
      <c r="D76" s="70">
        <f t="shared" si="146"/>
        <v>33.010299956639813</v>
      </c>
      <c r="E76" s="68">
        <v>2</v>
      </c>
      <c r="F76" s="68">
        <v>0</v>
      </c>
      <c r="G76" s="70">
        <f t="shared" si="20"/>
        <v>33.010299956639813</v>
      </c>
      <c r="H76" s="72">
        <f t="shared" si="21"/>
        <v>2.0000000000000018</v>
      </c>
      <c r="I76" s="71"/>
      <c r="J76" s="64">
        <f t="shared" si="106"/>
        <v>0.25820193119521467</v>
      </c>
      <c r="K76" s="64">
        <f t="shared" si="107"/>
        <v>0.77460579358564408</v>
      </c>
      <c r="L76" s="64">
        <f t="shared" si="108"/>
        <v>2.5820193119521471</v>
      </c>
      <c r="M76" s="64">
        <f t="shared" si="109"/>
        <v>7.7460579358564408</v>
      </c>
      <c r="N76" s="6"/>
      <c r="O76" s="47"/>
      <c r="P76" s="73">
        <f t="shared" si="22"/>
        <v>0.25789317340497586</v>
      </c>
      <c r="Q76" s="73">
        <f t="shared" si="23"/>
        <v>0.77367952021492759</v>
      </c>
      <c r="R76" s="73">
        <f t="shared" si="24"/>
        <v>2.5789317340497586</v>
      </c>
      <c r="S76" s="73">
        <f t="shared" si="25"/>
        <v>7.7367952021492759</v>
      </c>
      <c r="T76" s="2"/>
      <c r="U76" s="74">
        <f t="shared" si="26"/>
        <v>0.21427478217774176</v>
      </c>
      <c r="V76" s="2"/>
      <c r="W76" s="81">
        <f t="shared" si="27"/>
        <v>5.625</v>
      </c>
      <c r="X76" s="79">
        <f t="shared" si="28"/>
        <v>1.3765012007098125</v>
      </c>
      <c r="Y76" s="3"/>
      <c r="Z76" s="81">
        <f t="shared" si="29"/>
        <v>22.5</v>
      </c>
      <c r="AA76" s="79">
        <f t="shared" si="30"/>
        <v>0.34412530017745313</v>
      </c>
      <c r="AC76" s="19"/>
    </row>
    <row r="77" spans="1:208" ht="14.45" x14ac:dyDescent="0.3">
      <c r="A77" s="82">
        <v>9</v>
      </c>
      <c r="B77" s="6" t="s">
        <v>66</v>
      </c>
      <c r="C77" s="68">
        <v>1800</v>
      </c>
      <c r="D77" s="70">
        <f t="shared" si="146"/>
        <v>30</v>
      </c>
      <c r="E77" s="68">
        <v>1</v>
      </c>
      <c r="F77" s="68">
        <v>0</v>
      </c>
      <c r="G77" s="70">
        <f t="shared" si="20"/>
        <v>30</v>
      </c>
      <c r="H77" s="72">
        <f t="shared" si="21"/>
        <v>1</v>
      </c>
      <c r="I77" s="71"/>
      <c r="J77" s="64">
        <f t="shared" si="106"/>
        <v>0.18257633646359869</v>
      </c>
      <c r="K77" s="64">
        <f t="shared" si="107"/>
        <v>0.54772900939079605</v>
      </c>
      <c r="L77" s="64">
        <f t="shared" si="108"/>
        <v>1.8257633646359868</v>
      </c>
      <c r="M77" s="64">
        <f t="shared" si="109"/>
        <v>5.4772900939079605</v>
      </c>
      <c r="N77" s="6"/>
      <c r="O77" s="47"/>
      <c r="P77" s="73">
        <f t="shared" si="22"/>
        <v>0.18235801173637653</v>
      </c>
      <c r="Q77" s="73">
        <f t="shared" si="23"/>
        <v>0.54707403520912967</v>
      </c>
      <c r="R77" s="73">
        <f t="shared" si="24"/>
        <v>1.8235801173637656</v>
      </c>
      <c r="S77" s="73">
        <f t="shared" si="25"/>
        <v>5.4707403520912967</v>
      </c>
      <c r="T77" s="2"/>
      <c r="U77" s="74">
        <f t="shared" si="26"/>
        <v>7.575757575757576E-2</v>
      </c>
      <c r="V77" s="2"/>
      <c r="W77" s="81">
        <f t="shared" si="27"/>
        <v>11.25</v>
      </c>
      <c r="X77" s="79">
        <f t="shared" si="28"/>
        <v>0.48666666666666669</v>
      </c>
      <c r="Y77" s="3"/>
      <c r="Z77" s="81">
        <f t="shared" si="29"/>
        <v>45</v>
      </c>
      <c r="AA77" s="79">
        <f t="shared" si="30"/>
        <v>0.12166666666666667</v>
      </c>
      <c r="AC77" s="19"/>
    </row>
    <row r="78" spans="1:208" ht="14.45" x14ac:dyDescent="0.3">
      <c r="A78" s="62">
        <v>10</v>
      </c>
      <c r="B78" s="6" t="s">
        <v>67</v>
      </c>
      <c r="C78" s="68">
        <v>2100</v>
      </c>
      <c r="D78" s="70">
        <f t="shared" si="146"/>
        <v>23.979400086720375</v>
      </c>
      <c r="E78" s="68">
        <v>0.25</v>
      </c>
      <c r="F78" s="68">
        <v>0</v>
      </c>
      <c r="G78" s="70">
        <f t="shared" si="20"/>
        <v>23.979400086720375</v>
      </c>
      <c r="H78" s="72">
        <f t="shared" si="21"/>
        <v>0.25000000000000011</v>
      </c>
      <c r="I78" s="71"/>
      <c r="J78" s="64">
        <f t="shared" si="106"/>
        <v>9.1288168231799346E-2</v>
      </c>
      <c r="K78" s="64">
        <f t="shared" si="107"/>
        <v>0.27386450469539803</v>
      </c>
      <c r="L78" s="64">
        <f t="shared" si="108"/>
        <v>0.91288168231799338</v>
      </c>
      <c r="M78" s="64">
        <f t="shared" si="109"/>
        <v>2.7386450469539803</v>
      </c>
      <c r="N78" s="6"/>
      <c r="O78" s="47"/>
      <c r="P78" s="73">
        <f t="shared" si="22"/>
        <v>9.1179005868188279E-2</v>
      </c>
      <c r="Q78" s="73">
        <f t="shared" si="23"/>
        <v>0.27353701760456489</v>
      </c>
      <c r="R78" s="73">
        <f t="shared" si="24"/>
        <v>0.9117900586818829</v>
      </c>
      <c r="S78" s="73">
        <f t="shared" si="25"/>
        <v>2.7353701760456488</v>
      </c>
      <c r="T78" s="2"/>
      <c r="U78" s="74">
        <f t="shared" si="26"/>
        <v>3.2467532467532478E-2</v>
      </c>
      <c r="V78" s="2"/>
      <c r="W78" s="81">
        <f t="shared" si="27"/>
        <v>13.125</v>
      </c>
      <c r="X78" s="79">
        <f t="shared" si="28"/>
        <v>0.20857142857142857</v>
      </c>
      <c r="Y78" s="3"/>
      <c r="Z78" s="81">
        <f t="shared" si="29"/>
        <v>52.5</v>
      </c>
      <c r="AA78" s="79">
        <f t="shared" si="30"/>
        <v>5.2142857142857144E-2</v>
      </c>
      <c r="AC78" s="19"/>
    </row>
    <row r="79" spans="1:208" ht="14.45" x14ac:dyDescent="0.3">
      <c r="A79" s="82">
        <v>11</v>
      </c>
      <c r="B79" s="6" t="s">
        <v>27</v>
      </c>
      <c r="C79" s="68">
        <v>2300</v>
      </c>
      <c r="D79" s="70">
        <f t="shared" si="146"/>
        <v>23.979400086720375</v>
      </c>
      <c r="E79" s="68">
        <v>0.25</v>
      </c>
      <c r="F79" s="68">
        <v>0</v>
      </c>
      <c r="G79" s="70">
        <f t="shared" si="20"/>
        <v>23.979400086720375</v>
      </c>
      <c r="H79" s="72">
        <f t="shared" si="21"/>
        <v>0.25000000000000011</v>
      </c>
      <c r="I79" s="71"/>
      <c r="J79" s="64">
        <f t="shared" si="106"/>
        <v>9.1288168231799346E-2</v>
      </c>
      <c r="K79" s="64">
        <f t="shared" si="107"/>
        <v>0.27386450469539803</v>
      </c>
      <c r="L79" s="64">
        <f t="shared" si="108"/>
        <v>0.91288168231799338</v>
      </c>
      <c r="M79" s="64">
        <f t="shared" si="109"/>
        <v>2.7386450469539803</v>
      </c>
      <c r="N79" s="6"/>
      <c r="O79" s="47"/>
      <c r="P79" s="73">
        <f t="shared" si="22"/>
        <v>9.1179005868188279E-2</v>
      </c>
      <c r="Q79" s="73">
        <f t="shared" si="23"/>
        <v>0.27353701760456489</v>
      </c>
      <c r="R79" s="73">
        <f t="shared" si="24"/>
        <v>0.9117900586818829</v>
      </c>
      <c r="S79" s="73">
        <f t="shared" si="25"/>
        <v>2.7353701760456488</v>
      </c>
      <c r="T79" s="2"/>
      <c r="U79" s="74">
        <f t="shared" si="26"/>
        <v>2.964426877470357E-2</v>
      </c>
      <c r="V79" s="2"/>
      <c r="W79" s="81">
        <f t="shared" si="27"/>
        <v>14.375</v>
      </c>
      <c r="X79" s="79">
        <f t="shared" si="28"/>
        <v>0.19043478260869565</v>
      </c>
      <c r="Y79" s="3"/>
      <c r="Z79" s="81">
        <f t="shared" si="29"/>
        <v>57.5</v>
      </c>
      <c r="AA79" s="79">
        <f t="shared" si="30"/>
        <v>4.7608695652173912E-2</v>
      </c>
      <c r="AC79" s="19"/>
    </row>
    <row r="80" spans="1:208" ht="14.45" x14ac:dyDescent="0.3">
      <c r="A80" s="82">
        <v>12</v>
      </c>
      <c r="B80" s="69" t="s">
        <v>15</v>
      </c>
      <c r="C80" s="68">
        <v>2400</v>
      </c>
      <c r="D80" s="70">
        <f t="shared" si="146"/>
        <v>20</v>
      </c>
      <c r="E80" s="68">
        <v>0.1</v>
      </c>
      <c r="F80" s="68">
        <v>0</v>
      </c>
      <c r="G80" s="70">
        <f t="shared" si="20"/>
        <v>20</v>
      </c>
      <c r="H80" s="72">
        <f t="shared" si="21"/>
        <v>0.1</v>
      </c>
      <c r="I80" s="71"/>
      <c r="J80" s="64">
        <f t="shared" si="106"/>
        <v>5.7735707007422359E-2</v>
      </c>
      <c r="K80" s="64">
        <f t="shared" si="107"/>
        <v>0.17320712102226707</v>
      </c>
      <c r="L80" s="64">
        <f t="shared" si="108"/>
        <v>0.57735707007422365</v>
      </c>
      <c r="M80" s="64">
        <f t="shared" si="109"/>
        <v>1.7320712102226707</v>
      </c>
      <c r="N80" s="6"/>
      <c r="O80" s="47"/>
      <c r="P80" s="73">
        <f t="shared" si="22"/>
        <v>5.7666666666666665E-2</v>
      </c>
      <c r="Q80" s="73">
        <f t="shared" si="23"/>
        <v>0.17300000000000001</v>
      </c>
      <c r="R80" s="73">
        <f t="shared" si="24"/>
        <v>0.57666666666666666</v>
      </c>
      <c r="S80" s="73">
        <f t="shared" si="25"/>
        <v>1.73</v>
      </c>
      <c r="T80" s="2"/>
      <c r="U80" s="74">
        <f t="shared" si="26"/>
        <v>1.7967486705502154E-2</v>
      </c>
      <c r="V80" s="2"/>
      <c r="W80" s="81">
        <f t="shared" si="27"/>
        <v>15</v>
      </c>
      <c r="X80" s="79">
        <f t="shared" si="28"/>
        <v>0.11542313459614585</v>
      </c>
      <c r="Y80" s="3"/>
      <c r="Z80" s="81">
        <f t="shared" si="29"/>
        <v>60</v>
      </c>
      <c r="AA80" s="79">
        <f t="shared" si="30"/>
        <v>2.8855783649036463E-2</v>
      </c>
      <c r="AC80" s="19"/>
    </row>
    <row r="81" spans="1:29" ht="14.45" x14ac:dyDescent="0.3">
      <c r="A81" s="62">
        <v>13</v>
      </c>
      <c r="B81" s="75" t="s">
        <v>245</v>
      </c>
      <c r="C81" s="68">
        <v>5800</v>
      </c>
      <c r="D81" s="68">
        <f t="shared" si="146"/>
        <v>30</v>
      </c>
      <c r="E81" s="68">
        <v>1</v>
      </c>
      <c r="F81" s="68">
        <v>0</v>
      </c>
      <c r="G81" s="70">
        <f t="shared" si="20"/>
        <v>30</v>
      </c>
      <c r="H81" s="72">
        <f t="shared" si="21"/>
        <v>1</v>
      </c>
      <c r="I81" s="71"/>
      <c r="J81" s="64">
        <f t="shared" si="106"/>
        <v>0.18257633646359869</v>
      </c>
      <c r="K81" s="64">
        <f t="shared" si="107"/>
        <v>0.54772900939079605</v>
      </c>
      <c r="L81" s="64">
        <f t="shared" si="108"/>
        <v>1.8257633646359868</v>
      </c>
      <c r="M81" s="64">
        <f t="shared" si="109"/>
        <v>5.4772900939079605</v>
      </c>
      <c r="N81" s="6"/>
      <c r="O81" s="47"/>
      <c r="P81" s="73">
        <f t="shared" si="22"/>
        <v>0.18235801173637653</v>
      </c>
      <c r="Q81" s="73">
        <f t="shared" si="23"/>
        <v>0.54707403520912967</v>
      </c>
      <c r="R81" s="73">
        <f t="shared" si="24"/>
        <v>1.8235801173637656</v>
      </c>
      <c r="S81" s="73">
        <f t="shared" si="25"/>
        <v>5.4707403520912967</v>
      </c>
      <c r="T81" s="2"/>
      <c r="U81" s="74">
        <f t="shared" si="26"/>
        <v>2.3510971786833857E-2</v>
      </c>
      <c r="V81" s="2"/>
      <c r="W81" s="81">
        <f t="shared" si="27"/>
        <v>36.25</v>
      </c>
      <c r="X81" s="79">
        <f t="shared" si="28"/>
        <v>0.15103448275862069</v>
      </c>
      <c r="Y81" s="3"/>
      <c r="Z81" s="81">
        <f t="shared" si="29"/>
        <v>145</v>
      </c>
      <c r="AA81" s="79">
        <f t="shared" si="30"/>
        <v>3.7758620689655173E-2</v>
      </c>
      <c r="AC81" s="19"/>
    </row>
    <row r="82" spans="1:29" ht="28.9" x14ac:dyDescent="0.3">
      <c r="A82" s="82">
        <v>14</v>
      </c>
      <c r="B82" s="69" t="s">
        <v>194</v>
      </c>
      <c r="C82" s="68">
        <v>2400</v>
      </c>
      <c r="D82" s="70">
        <f t="shared" si="146"/>
        <v>20</v>
      </c>
      <c r="E82" s="68">
        <v>0.1</v>
      </c>
      <c r="F82" s="68">
        <v>6.9</v>
      </c>
      <c r="G82" s="70">
        <f t="shared" si="20"/>
        <v>26.9</v>
      </c>
      <c r="H82" s="72">
        <f t="shared" si="21"/>
        <v>0.48977881936844625</v>
      </c>
      <c r="I82" s="71"/>
      <c r="J82" s="64">
        <f t="shared" si="106"/>
        <v>0.12777458773346759</v>
      </c>
      <c r="K82" s="64">
        <f t="shared" si="107"/>
        <v>0.38332376320040273</v>
      </c>
      <c r="L82" s="64">
        <f t="shared" si="108"/>
        <v>1.2777458773346759</v>
      </c>
      <c r="M82" s="64">
        <f t="shared" si="109"/>
        <v>3.8332376320040278</v>
      </c>
      <c r="N82" s="6"/>
      <c r="O82" s="47"/>
      <c r="P82" s="73">
        <f t="shared" si="22"/>
        <v>0.12762179492059178</v>
      </c>
      <c r="Q82" s="73">
        <f t="shared" si="23"/>
        <v>0.3828653847617754</v>
      </c>
      <c r="R82" s="73">
        <f t="shared" si="24"/>
        <v>1.276217949205918</v>
      </c>
      <c r="S82" s="73">
        <f t="shared" si="25"/>
        <v>3.8286538476177538</v>
      </c>
      <c r="T82" s="2"/>
      <c r="U82" s="74">
        <f t="shared" si="26"/>
        <v>3.9763749772856453E-2</v>
      </c>
      <c r="V82" s="2"/>
      <c r="W82" s="81">
        <f t="shared" si="27"/>
        <v>15</v>
      </c>
      <c r="X82" s="79">
        <f t="shared" si="28"/>
        <v>0.25544232854082988</v>
      </c>
      <c r="Y82" s="3"/>
      <c r="Z82" s="81">
        <f t="shared" si="29"/>
        <v>60</v>
      </c>
      <c r="AA82" s="79">
        <f t="shared" si="30"/>
        <v>6.3860582135207469E-2</v>
      </c>
      <c r="AC82" s="19"/>
    </row>
    <row r="83" spans="1:29" ht="28.9" x14ac:dyDescent="0.3">
      <c r="A83" s="82">
        <v>15</v>
      </c>
      <c r="B83" s="75" t="s">
        <v>246</v>
      </c>
      <c r="C83" s="68">
        <v>5800</v>
      </c>
      <c r="D83" s="70">
        <f t="shared" si="146"/>
        <v>30</v>
      </c>
      <c r="E83" s="68">
        <v>1</v>
      </c>
      <c r="F83" s="68">
        <v>8.8000000000000007</v>
      </c>
      <c r="G83" s="70">
        <f t="shared" si="20"/>
        <v>38.799999999999997</v>
      </c>
      <c r="H83" s="72">
        <f t="shared" si="21"/>
        <v>7.5857757502918393</v>
      </c>
      <c r="I83" s="71"/>
      <c r="J83" s="64">
        <f t="shared" si="106"/>
        <v>0.50285698643837029</v>
      </c>
      <c r="K83" s="64">
        <f t="shared" si="107"/>
        <v>1.5085709593151109</v>
      </c>
      <c r="L83" s="64">
        <f t="shared" si="108"/>
        <v>5.0285698643837033</v>
      </c>
      <c r="M83" s="64">
        <f t="shared" si="109"/>
        <v>15.08570959315111</v>
      </c>
      <c r="N83" s="6"/>
      <c r="O83" s="47"/>
      <c r="P83" s="73">
        <f t="shared" si="22"/>
        <v>0.50225567020800654</v>
      </c>
      <c r="Q83" s="73">
        <f t="shared" si="23"/>
        <v>1.5067670106240199</v>
      </c>
      <c r="R83" s="73">
        <f t="shared" si="24"/>
        <v>5.0225567020800659</v>
      </c>
      <c r="S83" s="73">
        <f t="shared" si="25"/>
        <v>15.067670106240197</v>
      </c>
      <c r="T83" s="2"/>
      <c r="U83" s="74">
        <f t="shared" si="26"/>
        <v>6.4754593338671645E-2</v>
      </c>
      <c r="V83" s="2"/>
      <c r="W83" s="81">
        <f t="shared" si="27"/>
        <v>36.25</v>
      </c>
      <c r="X83" s="79">
        <f t="shared" si="28"/>
        <v>0.41598350760762665</v>
      </c>
      <c r="Y83" s="3"/>
      <c r="Z83" s="81">
        <f t="shared" si="29"/>
        <v>145</v>
      </c>
      <c r="AA83" s="79">
        <f t="shared" si="30"/>
        <v>0.10399587690190666</v>
      </c>
      <c r="AC83" s="19"/>
    </row>
    <row r="84" spans="1:29" ht="14.45" x14ac:dyDescent="0.3">
      <c r="A84" s="62">
        <v>16</v>
      </c>
      <c r="B84" s="6" t="s">
        <v>187</v>
      </c>
      <c r="C84" s="68">
        <v>155</v>
      </c>
      <c r="D84" s="70">
        <f t="shared" si="146"/>
        <v>30</v>
      </c>
      <c r="E84" s="68">
        <v>1</v>
      </c>
      <c r="F84" s="68">
        <v>0</v>
      </c>
      <c r="G84" s="70">
        <f t="shared" si="20"/>
        <v>30</v>
      </c>
      <c r="H84" s="72">
        <f t="shared" si="21"/>
        <v>1</v>
      </c>
      <c r="I84" s="71"/>
      <c r="J84" s="64">
        <f t="shared" si="106"/>
        <v>0.18257633646359869</v>
      </c>
      <c r="K84" s="64">
        <f t="shared" si="107"/>
        <v>0.54772900939079605</v>
      </c>
      <c r="L84" s="64">
        <f t="shared" si="108"/>
        <v>1.8257633646359868</v>
      </c>
      <c r="M84" s="64">
        <f t="shared" si="109"/>
        <v>5.4772900939079605</v>
      </c>
      <c r="N84" s="6"/>
      <c r="O84" s="47"/>
      <c r="P84" s="73">
        <f t="shared" si="22"/>
        <v>0.18235801173637653</v>
      </c>
      <c r="Q84" s="73">
        <f t="shared" si="23"/>
        <v>0.54707403520912967</v>
      </c>
      <c r="R84" s="73">
        <f t="shared" si="24"/>
        <v>1.8235801173637656</v>
      </c>
      <c r="S84" s="73">
        <f t="shared" si="25"/>
        <v>5.4707403520912967</v>
      </c>
      <c r="T84" s="2"/>
      <c r="U84" s="74">
        <f t="shared" si="26"/>
        <v>0.87976539589442826</v>
      </c>
      <c r="V84" s="2"/>
      <c r="W84" s="81">
        <f t="shared" si="27"/>
        <v>0.96875</v>
      </c>
      <c r="X84" s="79">
        <f t="shared" si="28"/>
        <v>5.6516129032258062</v>
      </c>
      <c r="Y84" s="3"/>
      <c r="Z84" s="81">
        <f t="shared" si="29"/>
        <v>3.875</v>
      </c>
      <c r="AA84" s="79">
        <f t="shared" si="30"/>
        <v>1.4129032258064516</v>
      </c>
      <c r="AC84" s="19"/>
    </row>
    <row r="85" spans="1:29" ht="14.45" x14ac:dyDescent="0.3">
      <c r="A85" s="82">
        <v>17</v>
      </c>
      <c r="B85" s="6" t="s">
        <v>188</v>
      </c>
      <c r="C85" s="68">
        <v>436</v>
      </c>
      <c r="D85" s="70">
        <f t="shared" si="146"/>
        <v>36.020599913279625</v>
      </c>
      <c r="E85" s="68">
        <v>4</v>
      </c>
      <c r="F85" s="68">
        <v>0</v>
      </c>
      <c r="G85" s="70">
        <f t="shared" si="20"/>
        <v>36.020599913279625</v>
      </c>
      <c r="H85" s="72">
        <f t="shared" si="21"/>
        <v>4.0000000000000071</v>
      </c>
      <c r="I85" s="71"/>
      <c r="J85" s="64">
        <f t="shared" si="106"/>
        <v>0.36515267292719739</v>
      </c>
      <c r="K85" s="64">
        <f t="shared" si="107"/>
        <v>1.0954580187815921</v>
      </c>
      <c r="L85" s="64">
        <f t="shared" si="108"/>
        <v>3.6515267292719735</v>
      </c>
      <c r="M85" s="64">
        <f t="shared" si="109"/>
        <v>10.954580187815921</v>
      </c>
      <c r="N85" s="6"/>
      <c r="O85" s="47"/>
      <c r="P85" s="73">
        <f t="shared" si="22"/>
        <v>0.36471602347275339</v>
      </c>
      <c r="Q85" s="73">
        <f t="shared" si="23"/>
        <v>1.0941480704182602</v>
      </c>
      <c r="R85" s="73">
        <f t="shared" si="24"/>
        <v>3.6471602347275343</v>
      </c>
      <c r="S85" s="73">
        <f t="shared" si="25"/>
        <v>10.941480704182602</v>
      </c>
      <c r="T85" s="2"/>
      <c r="U85" s="74">
        <f t="shared" si="26"/>
        <v>0.62552126772310312</v>
      </c>
      <c r="V85" s="2"/>
      <c r="W85" s="81">
        <f t="shared" si="27"/>
        <v>2.7250000000000001</v>
      </c>
      <c r="X85" s="79">
        <f t="shared" si="28"/>
        <v>4.0183486238532113</v>
      </c>
      <c r="Y85" s="3"/>
      <c r="Z85" s="81">
        <f t="shared" si="29"/>
        <v>10.9</v>
      </c>
      <c r="AA85" s="79">
        <f t="shared" si="30"/>
        <v>1.0045871559633028</v>
      </c>
      <c r="AC85" s="19"/>
    </row>
    <row r="86" spans="1:29" ht="14.45" x14ac:dyDescent="0.3">
      <c r="A86" s="82">
        <v>18</v>
      </c>
      <c r="B86" s="6" t="s">
        <v>189</v>
      </c>
      <c r="C86" s="68">
        <v>481</v>
      </c>
      <c r="D86" s="70">
        <f t="shared" si="146"/>
        <v>36.020599913279625</v>
      </c>
      <c r="E86" s="68">
        <v>4</v>
      </c>
      <c r="F86" s="68">
        <v>0</v>
      </c>
      <c r="G86" s="70">
        <f t="shared" si="20"/>
        <v>36.020599913279625</v>
      </c>
      <c r="H86" s="72">
        <f t="shared" si="21"/>
        <v>4.0000000000000071</v>
      </c>
      <c r="I86" s="71"/>
      <c r="J86" s="64">
        <f t="shared" si="106"/>
        <v>0.36515267292719739</v>
      </c>
      <c r="K86" s="64">
        <f t="shared" si="107"/>
        <v>1.0954580187815921</v>
      </c>
      <c r="L86" s="64">
        <f t="shared" si="108"/>
        <v>3.6515267292719735</v>
      </c>
      <c r="M86" s="64">
        <f t="shared" si="109"/>
        <v>10.954580187815921</v>
      </c>
      <c r="N86" s="6"/>
      <c r="O86" s="47"/>
      <c r="P86" s="73">
        <f t="shared" si="22"/>
        <v>0.36471602347275339</v>
      </c>
      <c r="Q86" s="73">
        <f t="shared" si="23"/>
        <v>1.0941480704182602</v>
      </c>
      <c r="R86" s="73">
        <f t="shared" si="24"/>
        <v>3.6471602347275343</v>
      </c>
      <c r="S86" s="73">
        <f t="shared" si="25"/>
        <v>10.941480704182602</v>
      </c>
      <c r="T86" s="2"/>
      <c r="U86" s="74">
        <f t="shared" si="26"/>
        <v>0.56700056700056756</v>
      </c>
      <c r="V86" s="2"/>
      <c r="W86" s="81">
        <f t="shared" si="27"/>
        <v>3.0062500000000001</v>
      </c>
      <c r="X86" s="79">
        <f t="shared" si="28"/>
        <v>3.6424116424116426</v>
      </c>
      <c r="Y86" s="3"/>
      <c r="Z86" s="81">
        <f t="shared" si="29"/>
        <v>12.025</v>
      </c>
      <c r="AA86" s="79">
        <f t="shared" si="30"/>
        <v>0.91060291060291065</v>
      </c>
      <c r="AC86" s="19"/>
    </row>
    <row r="87" spans="1:29" ht="28.9" x14ac:dyDescent="0.3">
      <c r="A87" s="62">
        <v>19</v>
      </c>
      <c r="B87" s="6" t="s">
        <v>190</v>
      </c>
      <c r="C87" s="68">
        <v>155</v>
      </c>
      <c r="D87" s="70">
        <f t="shared" si="146"/>
        <v>36.989700043360187</v>
      </c>
      <c r="E87" s="68">
        <v>5</v>
      </c>
      <c r="F87" s="68">
        <v>0</v>
      </c>
      <c r="G87" s="70">
        <f t="shared" si="20"/>
        <v>36.989700043360187</v>
      </c>
      <c r="H87" s="72">
        <f t="shared" si="21"/>
        <v>5.0000000000000036</v>
      </c>
      <c r="I87" s="71"/>
      <c r="J87" s="64">
        <f t="shared" si="106"/>
        <v>0.40825309941548021</v>
      </c>
      <c r="K87" s="64">
        <f t="shared" si="107"/>
        <v>1.2247592982464406</v>
      </c>
      <c r="L87" s="64">
        <f t="shared" si="108"/>
        <v>4.0825309941548023</v>
      </c>
      <c r="M87" s="64">
        <f t="shared" si="109"/>
        <v>12.247592982464406</v>
      </c>
      <c r="N87" s="6"/>
      <c r="O87" s="47"/>
      <c r="P87" s="73">
        <f t="shared" si="22"/>
        <v>0.40776491048424257</v>
      </c>
      <c r="Q87" s="73">
        <f t="shared" si="23"/>
        <v>1.2232947314527278</v>
      </c>
      <c r="R87" s="73">
        <f t="shared" si="24"/>
        <v>4.0776491048424264</v>
      </c>
      <c r="S87" s="73">
        <f t="shared" si="25"/>
        <v>12.232947314527278</v>
      </c>
      <c r="T87" s="2"/>
      <c r="U87" s="74">
        <f t="shared" si="26"/>
        <v>1.9672152294719569</v>
      </c>
      <c r="V87" s="2"/>
      <c r="W87" s="81">
        <f t="shared" si="27"/>
        <v>0.96875</v>
      </c>
      <c r="X87" s="79">
        <f t="shared" si="28"/>
        <v>12.637390634127843</v>
      </c>
      <c r="Y87" s="3"/>
      <c r="Z87" s="81">
        <f t="shared" si="29"/>
        <v>3.875</v>
      </c>
      <c r="AA87" s="79">
        <f t="shared" si="30"/>
        <v>3.1593476585319609</v>
      </c>
      <c r="AC87" s="19"/>
    </row>
    <row r="88" spans="1:29" ht="28.9" x14ac:dyDescent="0.3">
      <c r="A88" s="82">
        <v>20</v>
      </c>
      <c r="B88" s="56" t="s">
        <v>191</v>
      </c>
      <c r="C88" s="62">
        <v>155</v>
      </c>
      <c r="D88" s="65">
        <f t="shared" si="146"/>
        <v>46.53212513775344</v>
      </c>
      <c r="E88" s="62">
        <v>45</v>
      </c>
      <c r="F88" s="62">
        <v>0</v>
      </c>
      <c r="G88" s="65">
        <f t="shared" si="20"/>
        <v>46.53212513775344</v>
      </c>
      <c r="H88" s="64">
        <f t="shared" si="21"/>
        <v>45.000000000000064</v>
      </c>
      <c r="I88" s="66"/>
      <c r="J88" s="64">
        <f t="shared" si="106"/>
        <v>1.2247592982464406</v>
      </c>
      <c r="K88" s="64">
        <f t="shared" si="107"/>
        <v>3.6742778947393218</v>
      </c>
      <c r="L88" s="64">
        <f t="shared" si="108"/>
        <v>12.247592982464406</v>
      </c>
      <c r="M88" s="64">
        <f t="shared" si="109"/>
        <v>36.742778947393219</v>
      </c>
      <c r="N88" s="56"/>
      <c r="O88" s="47"/>
      <c r="P88" s="64">
        <f t="shared" si="22"/>
        <v>1.223294731452728</v>
      </c>
      <c r="Q88" s="64">
        <f t="shared" si="23"/>
        <v>3.6698841943581848</v>
      </c>
      <c r="R88" s="64">
        <f t="shared" si="24"/>
        <v>12.232947314527282</v>
      </c>
      <c r="S88" s="64">
        <f t="shared" si="25"/>
        <v>36.698841943581847</v>
      </c>
      <c r="T88" s="2"/>
      <c r="U88" s="67">
        <f t="shared" si="26"/>
        <v>5.9016456884158721</v>
      </c>
      <c r="V88" s="2"/>
      <c r="W88" s="80">
        <f t="shared" si="27"/>
        <v>0.96875</v>
      </c>
      <c r="X88" s="77">
        <f t="shared" si="28"/>
        <v>37.912171902383534</v>
      </c>
      <c r="Y88" s="78"/>
      <c r="Z88" s="80">
        <f t="shared" si="29"/>
        <v>3.875</v>
      </c>
      <c r="AA88" s="77">
        <f t="shared" si="30"/>
        <v>9.4780429755958835</v>
      </c>
      <c r="AC88" s="19"/>
    </row>
    <row r="89" spans="1:29" ht="28.9" x14ac:dyDescent="0.3">
      <c r="A89" s="82">
        <v>21</v>
      </c>
      <c r="B89" s="56" t="s">
        <v>192</v>
      </c>
      <c r="C89" s="62">
        <v>436</v>
      </c>
      <c r="D89" s="65">
        <f t="shared" si="146"/>
        <v>46.020599913279625</v>
      </c>
      <c r="E89" s="62">
        <v>40</v>
      </c>
      <c r="F89" s="62">
        <v>0</v>
      </c>
      <c r="G89" s="65">
        <f t="shared" si="20"/>
        <v>46.020599913279625</v>
      </c>
      <c r="H89" s="64">
        <f t="shared" si="21"/>
        <v>40.000000000000043</v>
      </c>
      <c r="I89" s="66"/>
      <c r="J89" s="64">
        <f t="shared" si="106"/>
        <v>1.1547141401484471</v>
      </c>
      <c r="K89" s="64">
        <f t="shared" si="107"/>
        <v>3.4641424204453415</v>
      </c>
      <c r="L89" s="64">
        <f t="shared" si="108"/>
        <v>11.547141401484472</v>
      </c>
      <c r="M89" s="64">
        <f t="shared" si="109"/>
        <v>34.641424204453415</v>
      </c>
      <c r="N89" s="56"/>
      <c r="O89" s="47"/>
      <c r="P89" s="64">
        <f t="shared" si="22"/>
        <v>1.1533333333333338</v>
      </c>
      <c r="Q89" s="64">
        <f t="shared" si="23"/>
        <v>3.4600000000000017</v>
      </c>
      <c r="R89" s="64">
        <f t="shared" si="24"/>
        <v>11.533333333333339</v>
      </c>
      <c r="S89" s="64">
        <f t="shared" si="25"/>
        <v>34.600000000000016</v>
      </c>
      <c r="T89" s="2"/>
      <c r="U89" s="67">
        <f t="shared" si="26"/>
        <v>1.9780719308809722</v>
      </c>
      <c r="V89" s="2"/>
      <c r="W89" s="80">
        <f t="shared" si="27"/>
        <v>2.7250000000000001</v>
      </c>
      <c r="X89" s="77">
        <f t="shared" si="28"/>
        <v>12.70713408397936</v>
      </c>
      <c r="Y89" s="78"/>
      <c r="Z89" s="80">
        <f t="shared" si="29"/>
        <v>10.9</v>
      </c>
      <c r="AA89" s="77">
        <f t="shared" si="30"/>
        <v>3.1767835209948401</v>
      </c>
      <c r="AC89" s="19"/>
    </row>
    <row r="90" spans="1:29" ht="28.9" x14ac:dyDescent="0.3">
      <c r="A90" s="94">
        <v>22</v>
      </c>
      <c r="B90" s="95" t="s">
        <v>193</v>
      </c>
      <c r="C90" s="94">
        <v>481</v>
      </c>
      <c r="D90" s="96">
        <f t="shared" si="146"/>
        <v>46.020599913279625</v>
      </c>
      <c r="E90" s="94">
        <v>40</v>
      </c>
      <c r="F90" s="94">
        <v>0</v>
      </c>
      <c r="G90" s="96">
        <f t="shared" si="20"/>
        <v>46.020599913279625</v>
      </c>
      <c r="H90" s="97">
        <f t="shared" si="21"/>
        <v>40.000000000000043</v>
      </c>
      <c r="I90" s="66"/>
      <c r="J90" s="97">
        <f t="shared" si="106"/>
        <v>1.1547141401484471</v>
      </c>
      <c r="K90" s="97">
        <f t="shared" si="107"/>
        <v>3.4641424204453415</v>
      </c>
      <c r="L90" s="97">
        <f t="shared" si="108"/>
        <v>11.547141401484472</v>
      </c>
      <c r="M90" s="97">
        <f t="shared" si="109"/>
        <v>34.641424204453415</v>
      </c>
      <c r="N90" s="95"/>
      <c r="O90" s="47"/>
      <c r="P90" s="97">
        <f t="shared" si="22"/>
        <v>1.1533333333333338</v>
      </c>
      <c r="Q90" s="97">
        <f t="shared" si="23"/>
        <v>3.4600000000000017</v>
      </c>
      <c r="R90" s="97">
        <f t="shared" si="24"/>
        <v>11.533333333333339</v>
      </c>
      <c r="S90" s="97">
        <f t="shared" si="25"/>
        <v>34.600000000000016</v>
      </c>
      <c r="T90" s="2"/>
      <c r="U90" s="98">
        <f t="shared" si="26"/>
        <v>1.7930132263286984</v>
      </c>
      <c r="V90" s="2"/>
      <c r="W90" s="99">
        <f t="shared" si="27"/>
        <v>3.0062500000000001</v>
      </c>
      <c r="X90" s="100">
        <f t="shared" si="28"/>
        <v>11.518316965935552</v>
      </c>
      <c r="Y90" s="78"/>
      <c r="Z90" s="99">
        <f t="shared" si="29"/>
        <v>12.025</v>
      </c>
      <c r="AA90" s="100">
        <f t="shared" si="30"/>
        <v>2.8795792414838881</v>
      </c>
      <c r="AC90" s="19"/>
    </row>
    <row r="91" spans="1:29" ht="14.45" x14ac:dyDescent="0.3">
      <c r="A91" s="82">
        <v>23</v>
      </c>
      <c r="B91" s="101" t="s">
        <v>234</v>
      </c>
      <c r="C91" s="102">
        <v>2400</v>
      </c>
      <c r="D91" s="7">
        <f t="shared" si="146"/>
        <v>20</v>
      </c>
      <c r="E91" s="5">
        <v>0.1</v>
      </c>
      <c r="F91" s="5">
        <v>0</v>
      </c>
      <c r="G91" s="5">
        <f t="shared" si="20"/>
        <v>20</v>
      </c>
      <c r="H91" s="5">
        <f t="shared" si="21"/>
        <v>0.1</v>
      </c>
      <c r="I91" s="5"/>
      <c r="J91" s="8">
        <f t="shared" si="106"/>
        <v>5.7735707007422359E-2</v>
      </c>
      <c r="K91" s="8">
        <f t="shared" si="107"/>
        <v>0.17320712102226707</v>
      </c>
      <c r="L91" s="8">
        <f t="shared" si="108"/>
        <v>0.57735707007422365</v>
      </c>
      <c r="M91" s="8">
        <f t="shared" si="109"/>
        <v>1.7320712102226707</v>
      </c>
      <c r="N91" s="8"/>
      <c r="O91" s="8"/>
      <c r="P91" s="8">
        <f t="shared" si="22"/>
        <v>5.7666666666666665E-2</v>
      </c>
      <c r="Q91" s="8">
        <f t="shared" si="23"/>
        <v>0.17300000000000001</v>
      </c>
      <c r="R91" s="8">
        <f t="shared" si="24"/>
        <v>0.57666666666666666</v>
      </c>
      <c r="S91" s="8">
        <f t="shared" si="25"/>
        <v>1.73</v>
      </c>
      <c r="T91" s="8"/>
      <c r="U91" s="8">
        <f t="shared" si="26"/>
        <v>1.7967486705502154E-2</v>
      </c>
      <c r="V91" s="5"/>
      <c r="W91" s="86">
        <f t="shared" si="27"/>
        <v>15</v>
      </c>
      <c r="X91" s="104">
        <f t="shared" si="28"/>
        <v>0.11542313459614585</v>
      </c>
      <c r="Y91" s="5"/>
      <c r="Z91" s="86">
        <f t="shared" si="29"/>
        <v>60</v>
      </c>
      <c r="AA91" s="104">
        <f t="shared" si="30"/>
        <v>2.8855783649036463E-2</v>
      </c>
    </row>
    <row r="92" spans="1:29" ht="14.45" x14ac:dyDescent="0.3">
      <c r="A92" s="82">
        <v>24</v>
      </c>
      <c r="B92" s="101" t="s">
        <v>235</v>
      </c>
      <c r="C92" s="102">
        <v>1960</v>
      </c>
      <c r="D92" s="103">
        <f t="shared" si="146"/>
        <v>23.979400086720375</v>
      </c>
      <c r="E92" s="5">
        <v>0.25</v>
      </c>
      <c r="F92" s="5">
        <v>0</v>
      </c>
      <c r="G92" s="5">
        <f t="shared" si="20"/>
        <v>23.979400086720375</v>
      </c>
      <c r="H92" s="5">
        <f t="shared" si="21"/>
        <v>0.25000000000000011</v>
      </c>
      <c r="I92" s="5"/>
      <c r="J92" s="8">
        <f t="shared" si="106"/>
        <v>9.1288168231799346E-2</v>
      </c>
      <c r="K92" s="8">
        <f t="shared" si="107"/>
        <v>0.27386450469539803</v>
      </c>
      <c r="L92" s="8">
        <f t="shared" si="108"/>
        <v>0.91288168231799338</v>
      </c>
      <c r="M92" s="8">
        <f t="shared" si="109"/>
        <v>2.7386450469539803</v>
      </c>
      <c r="N92" s="8"/>
      <c r="O92" s="8"/>
      <c r="P92" s="8">
        <f t="shared" si="22"/>
        <v>9.1179005868188279E-2</v>
      </c>
      <c r="Q92" s="8">
        <f t="shared" si="23"/>
        <v>0.27353701760456489</v>
      </c>
      <c r="R92" s="8">
        <f t="shared" si="24"/>
        <v>0.9117900586818829</v>
      </c>
      <c r="S92" s="8">
        <f t="shared" si="25"/>
        <v>2.7353701760456488</v>
      </c>
      <c r="T92" s="8"/>
      <c r="U92" s="8">
        <f t="shared" si="26"/>
        <v>3.4786641929499082E-2</v>
      </c>
      <c r="V92" s="5"/>
      <c r="W92" s="86">
        <f t="shared" si="27"/>
        <v>12.25</v>
      </c>
      <c r="X92" s="104">
        <f t="shared" si="28"/>
        <v>0.22346938775510203</v>
      </c>
      <c r="Y92" s="5"/>
      <c r="Z92" s="86">
        <f t="shared" si="29"/>
        <v>49</v>
      </c>
      <c r="AA92" s="104">
        <f t="shared" si="30"/>
        <v>5.5867346938775507E-2</v>
      </c>
    </row>
    <row r="93" spans="1:29" ht="14.45" x14ac:dyDescent="0.3">
      <c r="A93"/>
      <c r="B93" s="19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29" ht="14.45" x14ac:dyDescent="0.3">
      <c r="A94"/>
      <c r="B94" s="19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29" ht="14.45" x14ac:dyDescent="0.3">
      <c r="A95"/>
      <c r="B95" s="19"/>
      <c r="C95"/>
      <c r="D95"/>
      <c r="E95"/>
      <c r="F95"/>
      <c r="G95"/>
      <c r="H95"/>
      <c r="I95"/>
      <c r="J95"/>
      <c r="K95"/>
      <c r="L95"/>
      <c r="M95"/>
      <c r="N95"/>
      <c r="O95"/>
      <c r="P95" t="s">
        <v>242</v>
      </c>
    </row>
    <row r="96" spans="1:29" ht="14.45" x14ac:dyDescent="0.3">
      <c r="A96"/>
      <c r="B96" s="19"/>
      <c r="C96"/>
      <c r="D96"/>
      <c r="E96"/>
      <c r="F96"/>
      <c r="G96"/>
      <c r="H96"/>
      <c r="I96"/>
      <c r="J96"/>
      <c r="K96"/>
      <c r="L96"/>
      <c r="M96"/>
      <c r="N96"/>
      <c r="O96"/>
      <c r="P96" t="s">
        <v>239</v>
      </c>
    </row>
    <row r="97" spans="1:29" ht="14.45" x14ac:dyDescent="0.3">
      <c r="A97"/>
      <c r="B97" s="19"/>
      <c r="C97"/>
      <c r="D97"/>
      <c r="E97"/>
      <c r="F97"/>
      <c r="G97"/>
      <c r="H97"/>
      <c r="I97"/>
      <c r="J97"/>
      <c r="K97"/>
      <c r="L97"/>
      <c r="M97"/>
      <c r="N97"/>
      <c r="O97"/>
      <c r="P97" t="s">
        <v>240</v>
      </c>
    </row>
    <row r="98" spans="1:29" ht="14.45" x14ac:dyDescent="0.3">
      <c r="A98"/>
      <c r="B98" s="19"/>
      <c r="C98"/>
      <c r="D98"/>
      <c r="E98"/>
      <c r="F98"/>
      <c r="G98"/>
      <c r="H98"/>
      <c r="I98"/>
      <c r="J98"/>
      <c r="K98"/>
      <c r="L98"/>
      <c r="M98"/>
      <c r="N98"/>
      <c r="O98"/>
      <c r="P98" t="s">
        <v>236</v>
      </c>
    </row>
    <row r="99" spans="1:29" ht="14.45" x14ac:dyDescent="0.3">
      <c r="A99"/>
      <c r="B99" s="19"/>
      <c r="C99"/>
      <c r="D99"/>
      <c r="E99"/>
      <c r="F99"/>
      <c r="G99"/>
      <c r="H99"/>
      <c r="I99"/>
      <c r="J99"/>
      <c r="K99"/>
      <c r="L99"/>
      <c r="M99"/>
      <c r="N99"/>
      <c r="O99"/>
      <c r="P99" t="s">
        <v>238</v>
      </c>
    </row>
    <row r="100" spans="1:29" ht="14.45" x14ac:dyDescent="0.3">
      <c r="AC100" s="19"/>
    </row>
    <row r="101" spans="1:29" ht="14.45" x14ac:dyDescent="0.3">
      <c r="AC101" s="19"/>
    </row>
    <row r="102" spans="1:29" ht="14.45" x14ac:dyDescent="0.3">
      <c r="AC102" s="19"/>
    </row>
    <row r="103" spans="1:29" ht="14.45" x14ac:dyDescent="0.3">
      <c r="AC103" s="19"/>
    </row>
    <row r="104" spans="1:29" ht="14.45" x14ac:dyDescent="0.3">
      <c r="AC104" s="19"/>
    </row>
    <row r="105" spans="1:29" ht="14.45" x14ac:dyDescent="0.3">
      <c r="AC105" s="19"/>
    </row>
    <row r="106" spans="1:29" ht="14.45" x14ac:dyDescent="0.3">
      <c r="AC106" s="19"/>
    </row>
  </sheetData>
  <mergeCells count="87">
    <mergeCell ref="FW66:GJ66"/>
    <mergeCell ref="GL66:GO66"/>
    <mergeCell ref="GS66:GW66"/>
    <mergeCell ref="FW67:FW68"/>
    <mergeCell ref="FX67:FX68"/>
    <mergeCell ref="FY67:FY68"/>
    <mergeCell ref="GA67:GA68"/>
    <mergeCell ref="GB67:GB68"/>
    <mergeCell ref="GC67:GC68"/>
    <mergeCell ref="GD67:GD68"/>
    <mergeCell ref="GF67:GI67"/>
    <mergeCell ref="GJ67:GJ68"/>
    <mergeCell ref="GL67:GO67"/>
    <mergeCell ref="ER66:FE66"/>
    <mergeCell ref="FG66:FJ66"/>
    <mergeCell ref="FN66:FR66"/>
    <mergeCell ref="ER67:ER68"/>
    <mergeCell ref="ES67:ES68"/>
    <mergeCell ref="ET67:ET68"/>
    <mergeCell ref="EV67:EV68"/>
    <mergeCell ref="EW67:EW68"/>
    <mergeCell ref="EX67:EX68"/>
    <mergeCell ref="EY67:EY68"/>
    <mergeCell ref="FA67:FD67"/>
    <mergeCell ref="FE67:FE68"/>
    <mergeCell ref="FG67:FJ67"/>
    <mergeCell ref="DM66:DZ66"/>
    <mergeCell ref="EB66:EE66"/>
    <mergeCell ref="EI66:EM66"/>
    <mergeCell ref="DM67:DM68"/>
    <mergeCell ref="DN67:DN68"/>
    <mergeCell ref="DO67:DO68"/>
    <mergeCell ref="DQ67:DQ68"/>
    <mergeCell ref="DR67:DR68"/>
    <mergeCell ref="DS67:DS68"/>
    <mergeCell ref="DT67:DT68"/>
    <mergeCell ref="DV67:DY67"/>
    <mergeCell ref="DZ67:DZ68"/>
    <mergeCell ref="EB67:EE67"/>
    <mergeCell ref="CG66:CT66"/>
    <mergeCell ref="CV66:CY66"/>
    <mergeCell ref="DC66:DG66"/>
    <mergeCell ref="CG67:CG68"/>
    <mergeCell ref="CH67:CH68"/>
    <mergeCell ref="CI67:CI68"/>
    <mergeCell ref="CK67:CK68"/>
    <mergeCell ref="CL67:CL68"/>
    <mergeCell ref="CM67:CM68"/>
    <mergeCell ref="CN67:CN68"/>
    <mergeCell ref="CP67:CS67"/>
    <mergeCell ref="CT67:CT68"/>
    <mergeCell ref="CV67:CY67"/>
    <mergeCell ref="BB66:BO66"/>
    <mergeCell ref="BQ66:BT66"/>
    <mergeCell ref="BX66:CB66"/>
    <mergeCell ref="BB67:BB68"/>
    <mergeCell ref="BC67:BC68"/>
    <mergeCell ref="BD67:BD68"/>
    <mergeCell ref="BF67:BF68"/>
    <mergeCell ref="BG67:BG68"/>
    <mergeCell ref="BH67:BH68"/>
    <mergeCell ref="BI67:BI68"/>
    <mergeCell ref="BK67:BN67"/>
    <mergeCell ref="BO67:BO68"/>
    <mergeCell ref="BQ67:BT67"/>
    <mergeCell ref="A1:A2"/>
    <mergeCell ref="B1:B2"/>
    <mergeCell ref="N1:N2"/>
    <mergeCell ref="J1:M1"/>
    <mergeCell ref="C1:C2"/>
    <mergeCell ref="E1:E2"/>
    <mergeCell ref="F1:F2"/>
    <mergeCell ref="G1:G2"/>
    <mergeCell ref="H1:H2"/>
    <mergeCell ref="W66:AA66"/>
    <mergeCell ref="G67:G68"/>
    <mergeCell ref="H67:H68"/>
    <mergeCell ref="J67:M67"/>
    <mergeCell ref="N67:N68"/>
    <mergeCell ref="A66:N66"/>
    <mergeCell ref="P67:S67"/>
    <mergeCell ref="P66:S66"/>
    <mergeCell ref="A67:A68"/>
    <mergeCell ref="B67:B68"/>
    <mergeCell ref="C67:C68"/>
    <mergeCell ref="E67:E68"/>
    <mergeCell ref="F67:F68"/>
  </mergeCells>
  <dataValidations count="1">
    <dataValidation type="list" allowBlank="1" showInputMessage="1" showErrorMessage="1" sqref="GZ73">
      <formula1>$A:$A</formula1>
    </dataValidation>
  </dataValidations>
  <pageMargins left="0.7" right="0.7" top="0.75" bottom="0.75" header="0.3" footer="0.3"/>
  <pageSetup paperSize="9" scale="61" fitToHeight="0" orientation="landscape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AB9"/>
  <sheetViews>
    <sheetView tabSelected="1" zoomScale="77" zoomScaleNormal="77" workbookViewId="0">
      <selection activeCell="AB2" sqref="AB2"/>
    </sheetView>
  </sheetViews>
  <sheetFormatPr defaultRowHeight="15" x14ac:dyDescent="0.25"/>
  <cols>
    <col min="1" max="1" width="2.42578125" customWidth="1"/>
    <col min="2" max="2" width="18.140625" bestFit="1" customWidth="1"/>
    <col min="3" max="3" width="10.28515625" customWidth="1"/>
    <col min="4" max="4" width="13.5703125" bestFit="1" customWidth="1"/>
    <col min="5" max="5" width="12.5703125" bestFit="1" customWidth="1"/>
    <col min="6" max="6" width="9" bestFit="1" customWidth="1"/>
    <col min="7" max="7" width="6.28515625" customWidth="1"/>
    <col min="8" max="8" width="10.140625" customWidth="1"/>
    <col min="9" max="9" width="0.85546875" customWidth="1"/>
    <col min="14" max="15" width="1" customWidth="1"/>
    <col min="19" max="19" width="13.5703125" bestFit="1" customWidth="1"/>
    <col min="20" max="20" width="0.5703125" customWidth="1"/>
    <col min="22" max="22" width="1.140625" customWidth="1"/>
    <col min="25" max="25" width="1.140625" customWidth="1"/>
  </cols>
  <sheetData>
    <row r="1" spans="1:28" ht="16.5" customHeight="1" thickBot="1" x14ac:dyDescent="0.35">
      <c r="A1" s="156" t="s">
        <v>186</v>
      </c>
      <c r="B1" s="157"/>
      <c r="C1" s="157"/>
      <c r="D1" s="157"/>
      <c r="E1" s="157"/>
      <c r="F1" s="157"/>
      <c r="G1" s="157"/>
      <c r="H1" s="157"/>
      <c r="I1" s="158"/>
      <c r="J1" s="157"/>
      <c r="K1" s="157"/>
      <c r="L1" s="157"/>
      <c r="M1" s="157"/>
      <c r="N1" s="159"/>
      <c r="O1" s="58"/>
      <c r="P1" s="160"/>
      <c r="Q1" s="160"/>
      <c r="R1" s="160"/>
      <c r="S1" s="160"/>
      <c r="T1" s="2"/>
      <c r="U1" s="2"/>
      <c r="V1" s="59"/>
      <c r="W1" s="151" t="s">
        <v>182</v>
      </c>
      <c r="X1" s="151"/>
      <c r="Y1" s="151"/>
      <c r="Z1" s="151"/>
      <c r="AA1" s="152"/>
      <c r="AB1" s="136" t="s">
        <v>244</v>
      </c>
    </row>
    <row r="2" spans="1:28" ht="165" customHeight="1" x14ac:dyDescent="0.25">
      <c r="A2" s="137"/>
      <c r="B2" s="137" t="s">
        <v>1</v>
      </c>
      <c r="C2" s="137" t="s">
        <v>10</v>
      </c>
      <c r="D2" s="135" t="s">
        <v>147</v>
      </c>
      <c r="E2" s="137" t="s">
        <v>11</v>
      </c>
      <c r="F2" s="137" t="s">
        <v>12</v>
      </c>
      <c r="G2" s="137" t="s">
        <v>179</v>
      </c>
      <c r="H2" s="137" t="s">
        <v>180</v>
      </c>
      <c r="I2" s="52"/>
      <c r="J2" s="153" t="s">
        <v>28</v>
      </c>
      <c r="K2" s="154"/>
      <c r="L2" s="154"/>
      <c r="M2" s="155"/>
      <c r="N2" s="137" t="s">
        <v>7</v>
      </c>
      <c r="O2" s="52"/>
      <c r="P2" s="153" t="s">
        <v>185</v>
      </c>
      <c r="Q2" s="154"/>
      <c r="R2" s="154"/>
      <c r="S2" s="155"/>
      <c r="T2" s="2"/>
      <c r="U2" s="60" t="s">
        <v>183</v>
      </c>
      <c r="V2" s="54"/>
      <c r="W2" s="53" t="s">
        <v>102</v>
      </c>
      <c r="X2" s="53" t="s">
        <v>105</v>
      </c>
      <c r="Y2" s="53"/>
      <c r="Z2" s="53" t="s">
        <v>104</v>
      </c>
      <c r="AA2" s="53" t="s">
        <v>109</v>
      </c>
      <c r="AB2" s="175" t="s">
        <v>239</v>
      </c>
    </row>
    <row r="3" spans="1:28" ht="48" x14ac:dyDescent="0.25">
      <c r="A3" s="137"/>
      <c r="B3" s="137"/>
      <c r="C3" s="137"/>
      <c r="D3" s="135" t="s">
        <v>148</v>
      </c>
      <c r="E3" s="137"/>
      <c r="F3" s="137"/>
      <c r="G3" s="137"/>
      <c r="H3" s="137"/>
      <c r="I3" s="52"/>
      <c r="J3" s="10">
        <v>30</v>
      </c>
      <c r="K3" s="10">
        <v>10</v>
      </c>
      <c r="L3" s="10">
        <v>3</v>
      </c>
      <c r="M3" s="10">
        <v>1</v>
      </c>
      <c r="N3" s="137"/>
      <c r="O3" s="52"/>
      <c r="P3" s="10">
        <v>30</v>
      </c>
      <c r="Q3" s="10">
        <v>10</v>
      </c>
      <c r="R3" s="10">
        <v>3</v>
      </c>
      <c r="S3" s="10">
        <v>1</v>
      </c>
      <c r="T3" s="2"/>
      <c r="U3" s="61" t="s">
        <v>184</v>
      </c>
      <c r="V3" s="2"/>
      <c r="W3" s="76" t="s">
        <v>103</v>
      </c>
      <c r="X3" s="76" t="s">
        <v>108</v>
      </c>
      <c r="Y3" s="3"/>
      <c r="Z3" s="76" t="s">
        <v>103</v>
      </c>
      <c r="AA3" s="76" t="s">
        <v>108</v>
      </c>
      <c r="AB3" s="175" t="s">
        <v>17</v>
      </c>
    </row>
    <row r="4" spans="1:28" ht="14.45" x14ac:dyDescent="0.3">
      <c r="B4" t="str">
        <f>VLOOKUP(AB3,'Transmitter Data'!$B$69:$AA$92,1,FALSE)</f>
        <v>BlueTooth 4.0</v>
      </c>
      <c r="C4">
        <f>VLOOKUP(AB3,'Transmitter Data'!$B$69:$AA$92,2,FALSE)</f>
        <v>2400</v>
      </c>
      <c r="D4">
        <f>VLOOKUP(AB3,'Transmitter Data'!$B$69:$AA$92,3,FALSE)</f>
        <v>20</v>
      </c>
      <c r="E4">
        <f>VLOOKUP(AB3,'Transmitter Data'!$B$69:$AA$92,4,FALSE)</f>
        <v>0.1</v>
      </c>
      <c r="F4">
        <f>VLOOKUP(AB3,'Transmitter Data'!$B$69:$AA$92,5,FALSE)</f>
        <v>0</v>
      </c>
      <c r="G4">
        <f>VLOOKUP(AB3,'Transmitter Data'!$B$69:$AA$92,6,FALSE)</f>
        <v>20</v>
      </c>
      <c r="H4">
        <f>VLOOKUP(AB3,'Transmitter Data'!$B$69:$AA$92,7,FALSE)</f>
        <v>0.1</v>
      </c>
      <c r="J4">
        <f>VLOOKUP(AB3,'Transmitter Data'!$B$69:$AA$92,9,FALSE)</f>
        <v>5.7735707007422359E-2</v>
      </c>
      <c r="K4">
        <f>VLOOKUP(AB3,'Transmitter Data'!$B$69:$AA$92,10,FALSE)</f>
        <v>0.17320712102226707</v>
      </c>
      <c r="L4">
        <f>VLOOKUP(AB3,'Transmitter Data'!$B$69:$AA$92,11,FALSE)</f>
        <v>0.57735707007422365</v>
      </c>
      <c r="M4">
        <f>VLOOKUP(AB3,'Transmitter Data'!$B$69:$AA$92,12,FALSE)</f>
        <v>1.7320712102226707</v>
      </c>
      <c r="N4">
        <f>VLOOKUP(AB3,'Transmitter Data'!$B$69:$AA$92,13,TRUE)</f>
        <v>0</v>
      </c>
      <c r="P4">
        <f>VLOOKUP(AB3,'Transmitter Data'!$B$69:$AA$92,15,FALSE)</f>
        <v>5.7666666666666665E-2</v>
      </c>
      <c r="Q4">
        <f>VLOOKUP(AB3,'Transmitter Data'!$B$69:$AA$92,16,FALSE)</f>
        <v>0.17300000000000001</v>
      </c>
      <c r="R4">
        <f>VLOOKUP(AB3,'Transmitter Data'!$B$69:$AA$92,17,FALSE)</f>
        <v>0.57666666666666666</v>
      </c>
      <c r="S4">
        <f>VLOOKUP(AB3,'Transmitter Data'!$B$69:$AA$92,18,FALSE)</f>
        <v>1.73</v>
      </c>
      <c r="U4">
        <f>VLOOKUP(AB3,'Transmitter Data'!$B$69:$AA$92,20,FALSE)</f>
        <v>1.7967486705502154E-2</v>
      </c>
      <c r="W4">
        <f>VLOOKUP(AB3,'Transmitter Data'!$B$69:$AA$92,22,FALSE)</f>
        <v>15</v>
      </c>
      <c r="X4">
        <f>VLOOKUP(AB3,'Transmitter Data'!$B$69:$AA$92,23,FALSE)</f>
        <v>0.11542313459614585</v>
      </c>
      <c r="Z4">
        <f>VLOOKUP(AB3,'Transmitter Data'!$B$69:$AA$92,25,FALSE)</f>
        <v>60</v>
      </c>
      <c r="AA4">
        <f>VLOOKUP(AB3,'Transmitter Data'!$B$69:$AA$92,26,FALSE)</f>
        <v>2.8855783649036463E-2</v>
      </c>
    </row>
    <row r="6" spans="1:28" x14ac:dyDescent="0.25">
      <c r="B6" t="s">
        <v>248</v>
      </c>
    </row>
    <row r="8" spans="1:28" x14ac:dyDescent="0.25">
      <c r="B8" t="s">
        <v>17</v>
      </c>
      <c r="C8">
        <v>2400</v>
      </c>
      <c r="D8">
        <v>20</v>
      </c>
      <c r="E8">
        <v>0.1</v>
      </c>
      <c r="F8">
        <v>0</v>
      </c>
      <c r="G8">
        <v>20</v>
      </c>
      <c r="H8">
        <v>0.1</v>
      </c>
      <c r="J8">
        <v>5.7735707007422359E-2</v>
      </c>
      <c r="K8">
        <v>0.17320712102226707</v>
      </c>
      <c r="L8">
        <v>0.57735707007422365</v>
      </c>
      <c r="M8">
        <v>1.7320712102226707</v>
      </c>
      <c r="N8">
        <v>0</v>
      </c>
      <c r="P8">
        <v>5.7666666666666665E-2</v>
      </c>
      <c r="Q8">
        <v>0.17300000000000001</v>
      </c>
      <c r="R8">
        <v>0.57666666666666666</v>
      </c>
      <c r="S8">
        <v>1.73</v>
      </c>
      <c r="U8">
        <v>1.7967486705502154E-2</v>
      </c>
      <c r="W8">
        <v>15</v>
      </c>
      <c r="X8">
        <v>0.11542313459614585</v>
      </c>
      <c r="Z8">
        <v>60</v>
      </c>
      <c r="AA8">
        <v>2.8855783649036463E-2</v>
      </c>
    </row>
    <row r="9" spans="1:28" x14ac:dyDescent="0.25">
      <c r="B9" t="s">
        <v>245</v>
      </c>
      <c r="C9">
        <v>5800</v>
      </c>
      <c r="D9">
        <v>30</v>
      </c>
      <c r="E9">
        <v>1</v>
      </c>
      <c r="F9">
        <v>0</v>
      </c>
      <c r="G9">
        <v>30</v>
      </c>
      <c r="H9">
        <v>1</v>
      </c>
      <c r="J9">
        <v>0.18257633646359869</v>
      </c>
      <c r="K9">
        <v>0.54772900939079605</v>
      </c>
      <c r="L9">
        <v>1.8257633646359868</v>
      </c>
      <c r="M9">
        <v>5.4772900939079605</v>
      </c>
      <c r="N9">
        <v>0</v>
      </c>
      <c r="P9">
        <v>0.18235801173637653</v>
      </c>
      <c r="Q9">
        <v>0.54707403520912967</v>
      </c>
      <c r="R9">
        <v>1.8235801173637656</v>
      </c>
      <c r="S9">
        <v>5.4707403520912967</v>
      </c>
      <c r="U9">
        <v>2.3510971786833857E-2</v>
      </c>
      <c r="W9">
        <v>36.25</v>
      </c>
      <c r="X9">
        <v>0.15103448275862069</v>
      </c>
      <c r="Z9">
        <v>145</v>
      </c>
      <c r="AA9">
        <v>3.7758620689655173E-2</v>
      </c>
    </row>
  </sheetData>
  <mergeCells count="13">
    <mergeCell ref="W1:AA1"/>
    <mergeCell ref="A2:A3"/>
    <mergeCell ref="B2:B3"/>
    <mergeCell ref="C2:C3"/>
    <mergeCell ref="E2:E3"/>
    <mergeCell ref="F2:F3"/>
    <mergeCell ref="G2:G3"/>
    <mergeCell ref="H2:H3"/>
    <mergeCell ref="J2:M2"/>
    <mergeCell ref="N2:N3"/>
    <mergeCell ref="P2:S2"/>
    <mergeCell ref="A1:N1"/>
    <mergeCell ref="P1:S1"/>
  </mergeCells>
  <dataValidations count="1">
    <dataValidation type="list" allowBlank="1" showInputMessage="1" showErrorMessage="1" sqref="AB3">
      <formula1>INDIRECT($AB$2)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6" r:id="rId4" name="Button 14">
              <controlPr defaultSize="0" print="0" autoFill="0" autoPict="0" macro="[0]!ArrayHandler2">
                <anchor moveWithCells="1">
                  <from>
                    <xdr:col>27</xdr:col>
                    <xdr:colOff>76200</xdr:colOff>
                    <xdr:row>3</xdr:row>
                    <xdr:rowOff>95250</xdr:rowOff>
                  </from>
                  <to>
                    <xdr:col>28</xdr:col>
                    <xdr:colOff>552450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5" name="Button 15">
              <controlPr defaultSize="0" print="0" autoFill="0" autoPict="0" macro="[0]!Array_Delete">
                <anchor moveWithCells="1" sizeWithCells="1">
                  <from>
                    <xdr:col>27</xdr:col>
                    <xdr:colOff>66675</xdr:colOff>
                    <xdr:row>4</xdr:row>
                    <xdr:rowOff>161925</xdr:rowOff>
                  </from>
                  <to>
                    <xdr:col>28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'Transmitter Data'!P$95:P$100</xm:f>
          </x14:formula1>
          <xm:sqref>AB2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</vt:i4>
      </vt:variant>
    </vt:vector>
  </HeadingPairs>
  <TitlesOfParts>
    <vt:vector size="17" baseType="lpstr">
      <vt:lpstr>Antenna nearfield zone</vt:lpstr>
      <vt:lpstr>TR50426</vt:lpstr>
      <vt:lpstr>Friss</vt:lpstr>
      <vt:lpstr>NASA 8719.12</vt:lpstr>
      <vt:lpstr>AFMAN91-201</vt:lpstr>
      <vt:lpstr>AFMAN Graphs</vt:lpstr>
      <vt:lpstr>Immunity specs</vt:lpstr>
      <vt:lpstr>Products</vt:lpstr>
      <vt:lpstr>Calc1</vt:lpstr>
      <vt:lpstr>TO 31Z-10-4</vt:lpstr>
      <vt:lpstr>Transmitter Data</vt:lpstr>
      <vt:lpstr>DropDown</vt:lpstr>
      <vt:lpstr>BlueTooth</vt:lpstr>
      <vt:lpstr>MobileRadio</vt:lpstr>
      <vt:lpstr>SGM</vt:lpstr>
      <vt:lpstr>SRD</vt:lpstr>
      <vt:lpstr>WiFI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Callie Fouche</dc:creator>
  <cp:lastModifiedBy>Callie Fouche</cp:lastModifiedBy>
  <cp:lastPrinted>2020-03-16T06:21:00Z</cp:lastPrinted>
  <dcterms:created xsi:type="dcterms:W3CDTF">2016-10-14T05:56:35Z</dcterms:created>
  <dcterms:modified xsi:type="dcterms:W3CDTF">2021-02-03T09:35:47Z</dcterms:modified>
</cp:coreProperties>
</file>